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nvy\Dropbox\Gas_Subsidy_Model\"/>
    </mc:Choice>
  </mc:AlternateContent>
  <xr:revisionPtr revIDLastSave="0" documentId="13_ncr:1_{B83B2876-6B88-4B85-90EB-71B12F37C3A2}" xr6:coauthVersionLast="47" xr6:coauthVersionMax="47" xr10:uidLastSave="{00000000-0000-0000-0000-000000000000}"/>
  <bookViews>
    <workbookView xWindow="22932" yWindow="-108" windowWidth="23256" windowHeight="12576" activeTab="3" xr2:uid="{53FA512D-EF58-4871-8C8F-CEC6494C4903}"/>
  </bookViews>
  <sheets>
    <sheet name="preliminary_scenario_analysis" sheetId="1" r:id="rId1"/>
    <sheet name="input_tables" sheetId="5" r:id="rId2"/>
    <sheet name="input_variables" sheetId="3" r:id="rId3"/>
    <sheet name="outcome_graphs" sheetId="10" r:id="rId4"/>
    <sheet name="financials" sheetId="8" r:id="rId5"/>
    <sheet name="model" sheetId="2" r:id="rId6"/>
    <sheet name="examples" sheetId="9" r:id="rId7"/>
    <sheet name="assumptions" sheetId="7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3" l="1"/>
  <c r="B3" i="8"/>
  <c r="P22" i="5"/>
  <c r="Q22" i="5"/>
  <c r="B7" i="3"/>
  <c r="B8" i="3"/>
  <c r="B18" i="3"/>
  <c r="B4" i="9" l="1"/>
  <c r="B3" i="9"/>
  <c r="B6" i="9"/>
  <c r="B11" i="9"/>
  <c r="B12" i="9"/>
  <c r="B5" i="9"/>
  <c r="B7" i="9"/>
  <c r="B8" i="9"/>
  <c r="B9" i="9"/>
  <c r="B10" i="9"/>
  <c r="B13" i="9"/>
  <c r="B2" i="9"/>
  <c r="C12" i="9"/>
  <c r="G12" i="9" s="1"/>
  <c r="D12" i="9"/>
  <c r="E12" i="9" s="1"/>
  <c r="F12" i="9"/>
  <c r="C13" i="9"/>
  <c r="G13" i="9" s="1"/>
  <c r="D13" i="9"/>
  <c r="E13" i="9" s="1"/>
  <c r="F13" i="9"/>
  <c r="D2" i="9"/>
  <c r="E2" i="9" s="1"/>
  <c r="F2" i="9"/>
  <c r="F3" i="9"/>
  <c r="C4" i="9"/>
  <c r="G4" i="9" s="1"/>
  <c r="C5" i="9"/>
  <c r="G5" i="9" s="1"/>
  <c r="C6" i="9"/>
  <c r="G6" i="9" s="1"/>
  <c r="D8" i="9"/>
  <c r="E8" i="9" s="1"/>
  <c r="D9" i="9"/>
  <c r="E9" i="9" s="1"/>
  <c r="F9" i="9"/>
  <c r="D10" i="9"/>
  <c r="E10" i="9" s="1"/>
  <c r="F10" i="9"/>
  <c r="F11" i="9"/>
  <c r="D5" i="9"/>
  <c r="E5" i="9" s="1"/>
  <c r="F5" i="9"/>
  <c r="C8" i="9"/>
  <c r="G8" i="9" s="1"/>
  <c r="C9" i="9"/>
  <c r="G9" i="9" s="1"/>
  <c r="F8" i="9"/>
  <c r="F4" i="9"/>
  <c r="F6" i="9"/>
  <c r="F7" i="9"/>
  <c r="C7" i="9"/>
  <c r="G7" i="9" s="1"/>
  <c r="D7" i="9"/>
  <c r="E7" i="9" s="1"/>
  <c r="C10" i="9"/>
  <c r="G10" i="9" s="1"/>
  <c r="C11" i="9"/>
  <c r="G11" i="9" s="1"/>
  <c r="D11" i="9"/>
  <c r="E11" i="9" s="1"/>
  <c r="C2" i="9"/>
  <c r="G2" i="9" s="1"/>
  <c r="C3" i="9"/>
  <c r="G3" i="9" s="1"/>
  <c r="D6" i="9"/>
  <c r="E6" i="9" s="1"/>
  <c r="D3" i="9"/>
  <c r="E3" i="9" s="1"/>
  <c r="D4" i="9"/>
  <c r="E4" i="9" s="1"/>
  <c r="B6" i="3"/>
  <c r="K13" i="9" l="1"/>
  <c r="L13" i="9" s="1"/>
  <c r="M13" i="9" s="1"/>
  <c r="K4" i="9"/>
  <c r="L4" i="9" s="1"/>
  <c r="M4" i="9" s="1"/>
  <c r="K3" i="9"/>
  <c r="L3" i="9" s="1"/>
  <c r="M3" i="9" s="1"/>
  <c r="K6" i="9"/>
  <c r="L6" i="9" s="1"/>
  <c r="M6" i="9" s="1"/>
  <c r="K11" i="9"/>
  <c r="L11" i="9" s="1"/>
  <c r="M11" i="9" s="1"/>
  <c r="K7" i="9"/>
  <c r="L7" i="9" s="1"/>
  <c r="M7" i="9" s="1"/>
  <c r="K5" i="9"/>
  <c r="L5" i="9" s="1"/>
  <c r="M5" i="9" s="1"/>
  <c r="K10" i="9"/>
  <c r="L10" i="9" s="1"/>
  <c r="M10" i="9" s="1"/>
  <c r="K9" i="9"/>
  <c r="L9" i="9" s="1"/>
  <c r="M9" i="9" s="1"/>
  <c r="K8" i="9"/>
  <c r="L8" i="9" s="1"/>
  <c r="M8" i="9" s="1"/>
  <c r="K2" i="9"/>
  <c r="L2" i="9" s="1"/>
  <c r="M2" i="9" s="1"/>
  <c r="K12" i="9"/>
  <c r="L12" i="9" s="1"/>
  <c r="M12" i="9" s="1"/>
  <c r="R4" i="5"/>
  <c r="R5" i="5"/>
  <c r="R6" i="5"/>
  <c r="R7" i="5"/>
  <c r="R8" i="5"/>
  <c r="R9" i="5"/>
  <c r="R10" i="5"/>
  <c r="R11" i="5"/>
  <c r="R12" i="5"/>
  <c r="R3" i="5"/>
  <c r="Q20" i="5"/>
  <c r="P16" i="5"/>
  <c r="Q19" i="5" s="1"/>
  <c r="B12" i="5"/>
  <c r="B4" i="5" s="1"/>
  <c r="B5" i="5" s="1"/>
  <c r="B6" i="5" s="1"/>
  <c r="B7" i="5" s="1"/>
  <c r="B8" i="5" s="1"/>
  <c r="B9" i="5" s="1"/>
  <c r="B10" i="5" s="1"/>
  <c r="B11" i="5" s="1"/>
  <c r="C12" i="5"/>
  <c r="C4" i="5" s="1"/>
  <c r="C5" i="5" s="1"/>
  <c r="C6" i="5" s="1"/>
  <c r="C7" i="5" s="1"/>
  <c r="C8" i="5" s="1"/>
  <c r="C9" i="5" s="1"/>
  <c r="C10" i="5" s="1"/>
  <c r="C11" i="5" s="1"/>
  <c r="A17" i="5" l="1"/>
  <c r="B17" i="5" s="1"/>
  <c r="A18" i="5" l="1"/>
  <c r="H12" i="2"/>
  <c r="H3" i="2"/>
  <c r="C18" i="1"/>
  <c r="D12" i="5"/>
  <c r="D4" i="5" s="1"/>
  <c r="D5" i="5" s="1"/>
  <c r="D6" i="5" s="1"/>
  <c r="D7" i="5" s="1"/>
  <c r="D8" i="5" s="1"/>
  <c r="D9" i="5" s="1"/>
  <c r="D10" i="5" s="1"/>
  <c r="D11" i="5" s="1"/>
  <c r="E12" i="5"/>
  <c r="E4" i="5" s="1"/>
  <c r="E5" i="5" s="1"/>
  <c r="E6" i="5" s="1"/>
  <c r="E7" i="5" s="1"/>
  <c r="E8" i="5" s="1"/>
  <c r="E9" i="5" s="1"/>
  <c r="E10" i="5" s="1"/>
  <c r="E11" i="5" s="1"/>
  <c r="F12" i="5"/>
  <c r="F4" i="5" s="1"/>
  <c r="F5" i="5" s="1"/>
  <c r="F6" i="5" s="1"/>
  <c r="F7" i="5" s="1"/>
  <c r="F8" i="5" s="1"/>
  <c r="F9" i="5" s="1"/>
  <c r="F10" i="5" s="1"/>
  <c r="F11" i="5" s="1"/>
  <c r="G12" i="5"/>
  <c r="G4" i="5" s="1"/>
  <c r="G5" i="5" s="1"/>
  <c r="G6" i="5" s="1"/>
  <c r="G7" i="5" s="1"/>
  <c r="G8" i="5" s="1"/>
  <c r="G9" i="5" s="1"/>
  <c r="G10" i="5" s="1"/>
  <c r="G11" i="5" s="1"/>
  <c r="H12" i="5"/>
  <c r="H4" i="5" s="1"/>
  <c r="H5" i="5" s="1"/>
  <c r="H6" i="5" s="1"/>
  <c r="H7" i="5" s="1"/>
  <c r="H8" i="5" s="1"/>
  <c r="H9" i="5" s="1"/>
  <c r="H10" i="5" s="1"/>
  <c r="H11" i="5" s="1"/>
  <c r="I12" i="5"/>
  <c r="I4" i="5" s="1"/>
  <c r="I5" i="5" s="1"/>
  <c r="I6" i="5" s="1"/>
  <c r="I7" i="5" s="1"/>
  <c r="I8" i="5" s="1"/>
  <c r="I9" i="5" s="1"/>
  <c r="I10" i="5" s="1"/>
  <c r="I11" i="5" s="1"/>
  <c r="J12" i="5"/>
  <c r="J4" i="5" s="1"/>
  <c r="J5" i="5" s="1"/>
  <c r="J6" i="5" s="1"/>
  <c r="J7" i="5" s="1"/>
  <c r="J8" i="5" s="1"/>
  <c r="J9" i="5" s="1"/>
  <c r="J10" i="5" s="1"/>
  <c r="J11" i="5" s="1"/>
  <c r="K12" i="5"/>
  <c r="K4" i="5" s="1"/>
  <c r="K5" i="5" s="1"/>
  <c r="K6" i="5" s="1"/>
  <c r="K7" i="5" s="1"/>
  <c r="K8" i="5" s="1"/>
  <c r="K9" i="5" s="1"/>
  <c r="K10" i="5" s="1"/>
  <c r="K11" i="5" s="1"/>
  <c r="A19" i="5" l="1"/>
  <c r="B18" i="5"/>
  <c r="W6" i="2"/>
  <c r="W3" i="2"/>
  <c r="W12" i="2"/>
  <c r="W10" i="2"/>
  <c r="W9" i="2"/>
  <c r="W8" i="2"/>
  <c r="W5" i="2"/>
  <c r="M5" i="2" s="1"/>
  <c r="W4" i="2"/>
  <c r="W11" i="2"/>
  <c r="W7" i="2"/>
  <c r="H4" i="2"/>
  <c r="H5" i="2" s="1"/>
  <c r="H6" i="2" s="1"/>
  <c r="H7" i="2" s="1"/>
  <c r="H8" i="2" s="1"/>
  <c r="H9" i="2" s="1"/>
  <c r="H10" i="2" s="1"/>
  <c r="H11" i="2" s="1"/>
  <c r="A20" i="5" l="1"/>
  <c r="B19" i="5"/>
  <c r="M3" i="2"/>
  <c r="H3" i="8"/>
  <c r="I3" i="8"/>
  <c r="K3" i="8"/>
  <c r="J3" i="8"/>
  <c r="C3" i="8"/>
  <c r="D3" i="8"/>
  <c r="E3" i="8"/>
  <c r="F3" i="8"/>
  <c r="G3" i="8"/>
  <c r="Q2" i="5"/>
  <c r="Q3" i="5"/>
  <c r="K4" i="8" s="1"/>
  <c r="K5" i="8" s="1"/>
  <c r="Q4" i="5"/>
  <c r="J4" i="8" s="1"/>
  <c r="J5" i="8" s="1"/>
  <c r="Q5" i="5"/>
  <c r="I4" i="8" s="1"/>
  <c r="I5" i="8" s="1"/>
  <c r="Q6" i="5"/>
  <c r="H4" i="8" s="1"/>
  <c r="H5" i="8" s="1"/>
  <c r="Q7" i="5"/>
  <c r="G4" i="8" s="1"/>
  <c r="G5" i="8" s="1"/>
  <c r="Q8" i="5"/>
  <c r="F4" i="8" s="1"/>
  <c r="F5" i="8" s="1"/>
  <c r="Q9" i="5"/>
  <c r="E4" i="8" s="1"/>
  <c r="E5" i="8" s="1"/>
  <c r="Q10" i="5"/>
  <c r="D4" i="8" s="1"/>
  <c r="D5" i="8" s="1"/>
  <c r="Q11" i="5"/>
  <c r="C4" i="8" s="1"/>
  <c r="C5" i="8" s="1"/>
  <c r="Q12" i="5"/>
  <c r="B4" i="8" s="1"/>
  <c r="B5" i="8" s="1"/>
  <c r="O3" i="5"/>
  <c r="O4" i="5"/>
  <c r="O5" i="5"/>
  <c r="O6" i="5"/>
  <c r="O7" i="5"/>
  <c r="O8" i="5"/>
  <c r="O9" i="5"/>
  <c r="O10" i="5"/>
  <c r="O11" i="5"/>
  <c r="O12" i="5"/>
  <c r="O2" i="5"/>
  <c r="N2" i="5"/>
  <c r="N3" i="5"/>
  <c r="N4" i="5"/>
  <c r="N5" i="5"/>
  <c r="N6" i="5"/>
  <c r="N7" i="5"/>
  <c r="N8" i="5"/>
  <c r="N9" i="5"/>
  <c r="N10" i="5"/>
  <c r="N11" i="5"/>
  <c r="N12" i="5"/>
  <c r="B20" i="5" l="1"/>
  <c r="A21" i="5"/>
  <c r="J6" i="8"/>
  <c r="I6" i="8"/>
  <c r="B6" i="8"/>
  <c r="K6" i="8"/>
  <c r="G6" i="8"/>
  <c r="F6" i="8"/>
  <c r="C6" i="8"/>
  <c r="D6" i="8"/>
  <c r="E6" i="8"/>
  <c r="H6" i="8"/>
  <c r="P6" i="5"/>
  <c r="P5" i="5"/>
  <c r="P12" i="5"/>
  <c r="P4" i="5"/>
  <c r="P11" i="5"/>
  <c r="P3" i="5"/>
  <c r="P10" i="5"/>
  <c r="P9" i="5"/>
  <c r="P8" i="5"/>
  <c r="P7" i="5"/>
  <c r="B36" i="3" l="1"/>
  <c r="B21" i="5"/>
  <c r="A22" i="5"/>
  <c r="R3" i="2"/>
  <c r="R15" i="2" s="1"/>
  <c r="Q3" i="2"/>
  <c r="Q27" i="2" s="1"/>
  <c r="O3" i="2"/>
  <c r="O15" i="2" s="1"/>
  <c r="U3" i="2"/>
  <c r="U15" i="2" s="1"/>
  <c r="T3" i="2"/>
  <c r="T15" i="2" s="1"/>
  <c r="S3" i="2"/>
  <c r="S15" i="2" s="1"/>
  <c r="P3" i="2"/>
  <c r="P15" i="2" s="1"/>
  <c r="M27" i="2"/>
  <c r="V3" i="2"/>
  <c r="V15" i="2" s="1"/>
  <c r="N3" i="2"/>
  <c r="A23" i="5" l="1"/>
  <c r="B22" i="5"/>
  <c r="N27" i="2"/>
  <c r="I3" i="2"/>
  <c r="Q15" i="2"/>
  <c r="N15" i="2"/>
  <c r="V27" i="2"/>
  <c r="U27" i="2"/>
  <c r="O27" i="2"/>
  <c r="P27" i="2"/>
  <c r="T27" i="2"/>
  <c r="R27" i="2"/>
  <c r="S27" i="2"/>
  <c r="S4" i="2"/>
  <c r="S16" i="2" s="1"/>
  <c r="T4" i="2"/>
  <c r="T16" i="2" s="1"/>
  <c r="Q4" i="2"/>
  <c r="Q16" i="2" s="1"/>
  <c r="R4" i="2"/>
  <c r="R16" i="2" s="1"/>
  <c r="M4" i="2"/>
  <c r="U4" i="2"/>
  <c r="U16" i="2" s="1"/>
  <c r="N4" i="2"/>
  <c r="N16" i="2" s="1"/>
  <c r="V4" i="2"/>
  <c r="V28" i="2" s="1"/>
  <c r="O4" i="2"/>
  <c r="O16" i="2" s="1"/>
  <c r="P4" i="2"/>
  <c r="P16" i="2" s="1"/>
  <c r="M15" i="2"/>
  <c r="B23" i="5" l="1"/>
  <c r="A24" i="5"/>
  <c r="M28" i="2"/>
  <c r="I4" i="2"/>
  <c r="L3" i="2"/>
  <c r="K3" i="2" s="1"/>
  <c r="T28" i="2"/>
  <c r="Q28" i="2"/>
  <c r="P28" i="2"/>
  <c r="G3" i="2"/>
  <c r="O28" i="2"/>
  <c r="N28" i="2"/>
  <c r="R28" i="2"/>
  <c r="S28" i="2"/>
  <c r="U28" i="2"/>
  <c r="Q5" i="2"/>
  <c r="Q17" i="2" s="1"/>
  <c r="O5" i="2"/>
  <c r="O17" i="2" s="1"/>
  <c r="P5" i="2"/>
  <c r="P17" i="2" s="1"/>
  <c r="R5" i="2"/>
  <c r="R17" i="2" s="1"/>
  <c r="S5" i="2"/>
  <c r="S17" i="2" s="1"/>
  <c r="T5" i="2"/>
  <c r="T17" i="2" s="1"/>
  <c r="M29" i="2"/>
  <c r="U5" i="2"/>
  <c r="U17" i="2" s="1"/>
  <c r="N5" i="2"/>
  <c r="N17" i="2" s="1"/>
  <c r="V5" i="2"/>
  <c r="V29" i="2" s="1"/>
  <c r="M16" i="2"/>
  <c r="A25" i="5" l="1"/>
  <c r="B25" i="5" s="1"/>
  <c r="B24" i="5"/>
  <c r="F3" i="2"/>
  <c r="E3" i="2" s="1"/>
  <c r="D3" i="2" s="1"/>
  <c r="T29" i="2"/>
  <c r="S29" i="2"/>
  <c r="G4" i="2"/>
  <c r="F4" i="2" s="1"/>
  <c r="P29" i="2"/>
  <c r="Q29" i="2"/>
  <c r="O29" i="2"/>
  <c r="R29" i="2"/>
  <c r="N29" i="2"/>
  <c r="U29" i="2"/>
  <c r="I5" i="2"/>
  <c r="O6" i="2"/>
  <c r="O18" i="2" s="1"/>
  <c r="M6" i="2"/>
  <c r="M30" i="2" s="1"/>
  <c r="N6" i="2"/>
  <c r="N18" i="2" s="1"/>
  <c r="P6" i="2"/>
  <c r="P18" i="2" s="1"/>
  <c r="U6" i="2"/>
  <c r="U18" i="2" s="1"/>
  <c r="V6" i="2"/>
  <c r="V30" i="2" s="1"/>
  <c r="Q6" i="2"/>
  <c r="Q18" i="2" s="1"/>
  <c r="R6" i="2"/>
  <c r="R18" i="2" s="1"/>
  <c r="S6" i="2"/>
  <c r="S18" i="2" s="1"/>
  <c r="T6" i="2"/>
  <c r="T18" i="2" s="1"/>
  <c r="M17" i="2"/>
  <c r="E4" i="2" l="1"/>
  <c r="D4" i="2" s="1"/>
  <c r="G5" i="2"/>
  <c r="R30" i="2"/>
  <c r="P30" i="2"/>
  <c r="N30" i="2"/>
  <c r="U30" i="2"/>
  <c r="Q30" i="2"/>
  <c r="T30" i="2"/>
  <c r="O30" i="2"/>
  <c r="S30" i="2"/>
  <c r="I6" i="2"/>
  <c r="M7" i="2"/>
  <c r="M31" i="2" s="1"/>
  <c r="U7" i="2"/>
  <c r="U19" i="2" s="1"/>
  <c r="N7" i="2"/>
  <c r="N19" i="2" s="1"/>
  <c r="S7" i="2"/>
  <c r="S19" i="2" s="1"/>
  <c r="V7" i="2"/>
  <c r="V31" i="2" s="1"/>
  <c r="O7" i="2"/>
  <c r="O19" i="2" s="1"/>
  <c r="P7" i="2"/>
  <c r="P19" i="2" s="1"/>
  <c r="T7" i="2"/>
  <c r="T19" i="2" s="1"/>
  <c r="Q7" i="2"/>
  <c r="Q19" i="2" s="1"/>
  <c r="R7" i="2"/>
  <c r="R19" i="2" s="1"/>
  <c r="M18" i="2"/>
  <c r="F5" i="2" l="1"/>
  <c r="E5" i="2" s="1"/>
  <c r="D5" i="2" s="1"/>
  <c r="R31" i="2"/>
  <c r="Q31" i="2"/>
  <c r="G6" i="2"/>
  <c r="P31" i="2"/>
  <c r="S31" i="2"/>
  <c r="N31" i="2"/>
  <c r="O31" i="2"/>
  <c r="U31" i="2"/>
  <c r="T31" i="2"/>
  <c r="I7" i="2"/>
  <c r="S8" i="2"/>
  <c r="S20" i="2" s="1"/>
  <c r="T8" i="2"/>
  <c r="T20" i="2" s="1"/>
  <c r="Q8" i="2"/>
  <c r="Q20" i="2" s="1"/>
  <c r="R8" i="2"/>
  <c r="R20" i="2" s="1"/>
  <c r="M8" i="2"/>
  <c r="M32" i="2" s="1"/>
  <c r="U8" i="2"/>
  <c r="U20" i="2" s="1"/>
  <c r="N8" i="2"/>
  <c r="N20" i="2" s="1"/>
  <c r="V8" i="2"/>
  <c r="V32" i="2" s="1"/>
  <c r="O8" i="2"/>
  <c r="O20" i="2" s="1"/>
  <c r="P8" i="2"/>
  <c r="P20" i="2" s="1"/>
  <c r="M19" i="2"/>
  <c r="F6" i="2" l="1"/>
  <c r="E6" i="2" s="1"/>
  <c r="D6" i="2" s="1"/>
  <c r="N32" i="2"/>
  <c r="G7" i="2"/>
  <c r="P32" i="2"/>
  <c r="U32" i="2"/>
  <c r="Q32" i="2"/>
  <c r="O32" i="2"/>
  <c r="T32" i="2"/>
  <c r="R32" i="2"/>
  <c r="S32" i="2"/>
  <c r="I8" i="2"/>
  <c r="Q9" i="2"/>
  <c r="Q21" i="2" s="1"/>
  <c r="P9" i="2"/>
  <c r="P21" i="2" s="1"/>
  <c r="R9" i="2"/>
  <c r="R21" i="2" s="1"/>
  <c r="O9" i="2"/>
  <c r="O21" i="2" s="1"/>
  <c r="S9" i="2"/>
  <c r="S21" i="2" s="1"/>
  <c r="T9" i="2"/>
  <c r="T21" i="2" s="1"/>
  <c r="M9" i="2"/>
  <c r="M33" i="2" s="1"/>
  <c r="U9" i="2"/>
  <c r="U21" i="2" s="1"/>
  <c r="N9" i="2"/>
  <c r="N21" i="2" s="1"/>
  <c r="V9" i="2"/>
  <c r="V33" i="2" s="1"/>
  <c r="M20" i="2"/>
  <c r="F7" i="2" l="1"/>
  <c r="G8" i="2"/>
  <c r="U33" i="2"/>
  <c r="P33" i="2"/>
  <c r="N33" i="2"/>
  <c r="T33" i="2"/>
  <c r="Q33" i="2"/>
  <c r="R33" i="2"/>
  <c r="O33" i="2"/>
  <c r="S33" i="2"/>
  <c r="I9" i="2"/>
  <c r="O10" i="2"/>
  <c r="O22" i="2" s="1"/>
  <c r="P10" i="2"/>
  <c r="P22" i="2" s="1"/>
  <c r="M10" i="2"/>
  <c r="M34" i="2" s="1"/>
  <c r="V10" i="2"/>
  <c r="V34" i="2" s="1"/>
  <c r="U10" i="2"/>
  <c r="U22" i="2" s="1"/>
  <c r="N10" i="2"/>
  <c r="N22" i="2" s="1"/>
  <c r="Q10" i="2"/>
  <c r="Q22" i="2" s="1"/>
  <c r="R10" i="2"/>
  <c r="R22" i="2" s="1"/>
  <c r="S10" i="2"/>
  <c r="S22" i="2" s="1"/>
  <c r="T10" i="2"/>
  <c r="T22" i="2" s="1"/>
  <c r="M21" i="2"/>
  <c r="E7" i="2" l="1"/>
  <c r="D7" i="2" s="1"/>
  <c r="F8" i="2"/>
  <c r="E8" i="2" s="1"/>
  <c r="D8" i="2" s="1"/>
  <c r="T34" i="2"/>
  <c r="S34" i="2"/>
  <c r="R34" i="2"/>
  <c r="G9" i="2"/>
  <c r="O34" i="2"/>
  <c r="U34" i="2"/>
  <c r="P34" i="2"/>
  <c r="Q34" i="2"/>
  <c r="N34" i="2"/>
  <c r="I10" i="2"/>
  <c r="M11" i="2"/>
  <c r="M35" i="2" s="1"/>
  <c r="U11" i="2"/>
  <c r="U23" i="2" s="1"/>
  <c r="V11" i="2"/>
  <c r="V35" i="2" s="1"/>
  <c r="P11" i="2"/>
  <c r="P23" i="2" s="1"/>
  <c r="R11" i="2"/>
  <c r="R23" i="2" s="1"/>
  <c r="S11" i="2"/>
  <c r="S23" i="2" s="1"/>
  <c r="T11" i="2"/>
  <c r="T23" i="2" s="1"/>
  <c r="N11" i="2"/>
  <c r="N23" i="2" s="1"/>
  <c r="O11" i="2"/>
  <c r="O23" i="2" s="1"/>
  <c r="Q11" i="2"/>
  <c r="Q23" i="2" s="1"/>
  <c r="M22" i="2"/>
  <c r="F9" i="2" l="1"/>
  <c r="E9" i="2" s="1"/>
  <c r="D9" i="2" s="1"/>
  <c r="G10" i="2"/>
  <c r="U35" i="2"/>
  <c r="O35" i="2"/>
  <c r="S35" i="2"/>
  <c r="N35" i="2"/>
  <c r="R35" i="2"/>
  <c r="Q35" i="2"/>
  <c r="T35" i="2"/>
  <c r="P35" i="2"/>
  <c r="I11" i="2"/>
  <c r="S12" i="2"/>
  <c r="S24" i="2" s="1"/>
  <c r="T12" i="2"/>
  <c r="T24" i="2" s="1"/>
  <c r="Q12" i="2"/>
  <c r="Q24" i="2" s="1"/>
  <c r="M12" i="2"/>
  <c r="U12" i="2"/>
  <c r="U24" i="2" s="1"/>
  <c r="N12" i="2"/>
  <c r="N24" i="2" s="1"/>
  <c r="V12" i="2"/>
  <c r="V36" i="2" s="1"/>
  <c r="P12" i="2"/>
  <c r="P24" i="2" s="1"/>
  <c r="R12" i="2"/>
  <c r="R24" i="2" s="1"/>
  <c r="O12" i="2"/>
  <c r="O24" i="2" s="1"/>
  <c r="M23" i="2"/>
  <c r="I12" i="2" l="1"/>
  <c r="M24" i="2"/>
  <c r="F10" i="2"/>
  <c r="E10" i="2" s="1"/>
  <c r="D10" i="2" s="1"/>
  <c r="Q36" i="2"/>
  <c r="G11" i="2"/>
  <c r="S36" i="2"/>
  <c r="R36" i="2"/>
  <c r="O36" i="2"/>
  <c r="T36" i="2"/>
  <c r="M36" i="2"/>
  <c r="N36" i="2"/>
  <c r="P36" i="2"/>
  <c r="U36" i="2"/>
  <c r="B11" i="3"/>
  <c r="B9" i="3"/>
  <c r="J3" i="2" l="1"/>
  <c r="C3" i="2" s="1"/>
  <c r="B37" i="3"/>
  <c r="B38" i="3" s="1"/>
  <c r="B32" i="3"/>
  <c r="B34" i="3" s="1"/>
  <c r="B33" i="3"/>
  <c r="F11" i="2"/>
  <c r="E11" i="2" s="1"/>
  <c r="D11" i="2" s="1"/>
  <c r="G12" i="2"/>
  <c r="I12" i="1"/>
  <c r="F13" i="1"/>
  <c r="L12" i="1"/>
  <c r="O11" i="1"/>
  <c r="F11" i="1"/>
  <c r="I10" i="1"/>
  <c r="F10" i="1"/>
  <c r="O9" i="1"/>
  <c r="L9" i="1"/>
  <c r="O8" i="1"/>
  <c r="F8" i="1"/>
  <c r="L7" i="1"/>
  <c r="I7" i="1"/>
  <c r="O6" i="1"/>
  <c r="L6" i="1"/>
  <c r="I5" i="1"/>
  <c r="F5" i="1"/>
  <c r="L4" i="1"/>
  <c r="I4" i="1"/>
  <c r="F12" i="2" l="1"/>
  <c r="E12" i="2" s="1"/>
  <c r="D12" i="2" s="1"/>
  <c r="I13" i="1"/>
  <c r="I8" i="1"/>
  <c r="L10" i="1"/>
  <c r="L5" i="1"/>
  <c r="O7" i="1"/>
  <c r="F9" i="1"/>
  <c r="I11" i="1"/>
  <c r="L13" i="1"/>
  <c r="O4" i="1"/>
  <c r="F6" i="1"/>
  <c r="O12" i="1"/>
  <c r="F4" i="1"/>
  <c r="I6" i="1"/>
  <c r="L8" i="1"/>
  <c r="O10" i="1"/>
  <c r="F12" i="1"/>
  <c r="O5" i="1"/>
  <c r="F7" i="1"/>
  <c r="I9" i="1"/>
  <c r="L11" i="1"/>
  <c r="O13" i="1"/>
  <c r="I14" i="1" l="1"/>
  <c r="L14" i="1"/>
  <c r="O14" i="1"/>
  <c r="F14" i="1"/>
  <c r="V24" i="2" l="1"/>
  <c r="L12" i="2" s="1"/>
  <c r="K12" i="2" s="1"/>
  <c r="J12" i="2" l="1"/>
  <c r="V23" i="2"/>
  <c r="L11" i="2" s="1"/>
  <c r="K11" i="2" s="1"/>
  <c r="V16" i="2"/>
  <c r="L4" i="2" s="1"/>
  <c r="K4" i="2" s="1"/>
  <c r="C12" i="2" l="1"/>
  <c r="B31" i="3" s="1"/>
  <c r="J4" i="2"/>
  <c r="J11" i="2"/>
  <c r="V20" i="2"/>
  <c r="L8" i="2" s="1"/>
  <c r="K8" i="2" s="1"/>
  <c r="V17" i="2"/>
  <c r="L5" i="2" s="1"/>
  <c r="K5" i="2" s="1"/>
  <c r="V18" i="2"/>
  <c r="L6" i="2" s="1"/>
  <c r="K6" i="2" s="1"/>
  <c r="V21" i="2"/>
  <c r="L9" i="2" s="1"/>
  <c r="K9" i="2" s="1"/>
  <c r="V19" i="2"/>
  <c r="L7" i="2" s="1"/>
  <c r="K7" i="2" s="1"/>
  <c r="V22" i="2"/>
  <c r="L10" i="2" s="1"/>
  <c r="K10" i="2" s="1"/>
  <c r="C4" i="1"/>
  <c r="B30" i="3" l="1"/>
  <c r="J8" i="2"/>
  <c r="C11" i="2"/>
  <c r="J5" i="2"/>
  <c r="J7" i="2"/>
  <c r="J6" i="2"/>
  <c r="J10" i="2"/>
  <c r="J9" i="2"/>
  <c r="C4" i="2"/>
  <c r="J4" i="1"/>
  <c r="D4" i="1"/>
  <c r="G4" i="1"/>
  <c r="M4" i="1"/>
  <c r="C6" i="2" l="1"/>
  <c r="C7" i="2"/>
  <c r="C9" i="2"/>
  <c r="C5" i="2"/>
  <c r="C10" i="2"/>
  <c r="C8" i="2"/>
  <c r="C13" i="1"/>
  <c r="C12" i="1"/>
  <c r="C11" i="1"/>
  <c r="C10" i="1"/>
  <c r="C9" i="1"/>
  <c r="C8" i="1"/>
  <c r="C7" i="1"/>
  <c r="C6" i="1"/>
  <c r="C5" i="1"/>
  <c r="D5" i="1" l="1"/>
  <c r="M5" i="1"/>
  <c r="J5" i="1"/>
  <c r="G5" i="1"/>
  <c r="C14" i="1"/>
  <c r="G13" i="1"/>
  <c r="J13" i="1"/>
  <c r="D13" i="1"/>
  <c r="M13" i="1"/>
  <c r="G6" i="1"/>
  <c r="J6" i="1"/>
  <c r="M6" i="1"/>
  <c r="D6" i="1"/>
  <c r="G8" i="1"/>
  <c r="M8" i="1"/>
  <c r="D8" i="1"/>
  <c r="J8" i="1"/>
  <c r="G9" i="1"/>
  <c r="J9" i="1"/>
  <c r="D9" i="1"/>
  <c r="M9" i="1"/>
  <c r="M10" i="1"/>
  <c r="G10" i="1"/>
  <c r="D10" i="1"/>
  <c r="J10" i="1"/>
  <c r="M11" i="1"/>
  <c r="J11" i="1"/>
  <c r="D11" i="1"/>
  <c r="G11" i="1"/>
  <c r="M7" i="1"/>
  <c r="D7" i="1"/>
  <c r="G7" i="1"/>
  <c r="J7" i="1"/>
  <c r="J12" i="1"/>
  <c r="G12" i="1"/>
  <c r="D12" i="1"/>
  <c r="M12" i="1"/>
  <c r="G14" i="1" l="1"/>
  <c r="J14" i="1"/>
  <c r="M14" i="1"/>
  <c r="D14" i="1"/>
</calcChain>
</file>

<file path=xl/sharedStrings.xml><?xml version="1.0" encoding="utf-8"?>
<sst xmlns="http://schemas.openxmlformats.org/spreadsheetml/2006/main" count="243" uniqueCount="182">
  <si>
    <t>Scenario Optimized</t>
  </si>
  <si>
    <t>Descending 1</t>
  </si>
  <si>
    <t>Descending 2</t>
  </si>
  <si>
    <t>Equal</t>
  </si>
  <si>
    <t>Decile</t>
  </si>
  <si>
    <t>gallons</t>
  </si>
  <si>
    <t xml:space="preserve">Share per decile </t>
  </si>
  <si>
    <t>Reduction weighted</t>
  </si>
  <si>
    <t>Weight, weighted</t>
  </si>
  <si>
    <t># cars</t>
  </si>
  <si>
    <t>Reduction equal</t>
  </si>
  <si>
    <t>Weight, equal</t>
  </si>
  <si>
    <t>Total</t>
  </si>
  <si>
    <t>-</t>
  </si>
  <si>
    <t>Number cars</t>
  </si>
  <si>
    <t>Share of Gasoline vehilces in 2030 per gasoline usage decile</t>
  </si>
  <si>
    <t>NHTS based data</t>
  </si>
  <si>
    <t>Gallons (calc)</t>
  </si>
  <si>
    <t>avg subsidy</t>
  </si>
  <si>
    <t>1MJ=</t>
  </si>
  <si>
    <t>1 gram =</t>
  </si>
  <si>
    <t>tons</t>
  </si>
  <si>
    <t>1 ton=</t>
  </si>
  <si>
    <t>Metric Tons</t>
  </si>
  <si>
    <t>g</t>
  </si>
  <si>
    <t>metric tons</t>
  </si>
  <si>
    <t>MJ</t>
  </si>
  <si>
    <t>Gallons</t>
  </si>
  <si>
    <t>Metric tons CO2eq/gallon</t>
  </si>
  <si>
    <t>Input</t>
  </si>
  <si>
    <t>Variable Name</t>
  </si>
  <si>
    <t>Value</t>
  </si>
  <si>
    <t>Comment</t>
  </si>
  <si>
    <t>Source</t>
  </si>
  <si>
    <t xml:space="preserve">Total number of cars (short + long wheel based light duty vehicles) </t>
  </si>
  <si>
    <t xml:space="preserve">Federal Highway Administration. (2021). Federal Highway statistics 2019. https://www.fhwa.dot.gov/policyinformation/statistics/2019/mv1.cfm. Accessed: 02/16/2021 </t>
  </si>
  <si>
    <t xml:space="preserve"> </t>
  </si>
  <si>
    <t>Change rate: Car number total</t>
  </si>
  <si>
    <t>10 Years Average</t>
  </si>
  <si>
    <t>Evs registered in USA end 2019</t>
  </si>
  <si>
    <t>543,610 Evs  in 2019, assumed 700000 for 2021</t>
  </si>
  <si>
    <t xml:space="preserve">Alternative Fuel Data Center. (2021). Electric Vehicle Registration by State. https://afdc.energy.gov/data/10962. Accessed: 03.04.2021 </t>
  </si>
  <si>
    <t>Gasoline Cars</t>
  </si>
  <si>
    <t>2005 Gasoline Emissions</t>
  </si>
  <si>
    <t xml:space="preserve">https://ops.fhwa.dot.gov/freight/freight_analysis/nat_freight_stats/docs/12factsfigures/table5_17.htm </t>
  </si>
  <si>
    <t>2030 Target Gasoline Emissions</t>
  </si>
  <si>
    <t>Half of 2005, based on Biden announcement</t>
  </si>
  <si>
    <t>Gasoline Emissions</t>
  </si>
  <si>
    <t>Metric tons CO2/gallon of gasoline</t>
  </si>
  <si>
    <t>United States Environmental Protection Agency. (2021). Greenhouse Gases Equivalencies Calculator - Calculations and References. https://www.epa.gov/energy/greenhouse-gases-equivalencies-calculator-calculations-and-references#:~:text=filled%20with%20gasoline-,The%20amount%20of%20carbon%20dioxide%20emitted%20per%20gallon%20of%20motor,tanker%20truck%20contains%208%2C500%20gallons. Accessed: 01/30/2021</t>
  </si>
  <si>
    <t>Gasoline Consumption 2019</t>
  </si>
  <si>
    <t>US Gallons</t>
  </si>
  <si>
    <t xml:space="preserve">https://www.eia.gov/energyexplained/gasoline/use-of-gasoline.php#:~:text=In%202019%2C%20Americans%20used%20about,that%20U.S.%20oil%20refineries%20produce. </t>
  </si>
  <si>
    <t>Gasoline Consumption 2017</t>
  </si>
  <si>
    <t>NHTS data upscaled</t>
  </si>
  <si>
    <t>kwh usage per EV per mile</t>
  </si>
  <si>
    <t xml:space="preserve"> Weighted average of the 5 most sold EV models in the USA</t>
  </si>
  <si>
    <t>Fueleconomy, (2020). https://www.fueleconomy.gov/feg/Find.do?action=sbs&amp;id=42278. Accessed: 30/01/2021</t>
  </si>
  <si>
    <t>Change rate: kwh usage per EV per mile</t>
  </si>
  <si>
    <t>Technology factor, assumed</t>
  </si>
  <si>
    <t>CO2 pound per khw (non renewable)</t>
  </si>
  <si>
    <t>Weighted average for Gas, Oil and Coal power production</t>
  </si>
  <si>
    <t>United States Energy Information Administration. (2020). How much carbon dioxide is produced per kilowatthour of U.S. electricity generation?. https://www.eia.gov/tools/faqs/faq.php?id=74&amp;t=11#:~:text=In%202019%2C%20total%20U.S.%20electricity,of%20CO2%20emissions%20per%20kWh. Accessed: 01/31/2021</t>
  </si>
  <si>
    <t>Change rate: CO2 pound per khw</t>
  </si>
  <si>
    <t>Substitution to natural gas, assumed (7% increase of natural gas share in comparison to coal and petrolium)</t>
  </si>
  <si>
    <t>Share Renewables in 2021</t>
  </si>
  <si>
    <t>Share Renewables in 2030</t>
  </si>
  <si>
    <t>EIA: 35%, EI: up to 80%</t>
  </si>
  <si>
    <t xml:space="preserve">https://www.statista.com/statistics/1070949/worldwide-emission-from-oil-production-by-country/ </t>
  </si>
  <si>
    <t>Subsidy per Gallon</t>
  </si>
  <si>
    <t>Gasoline Vehicles</t>
  </si>
  <si>
    <t>Top 10%</t>
  </si>
  <si>
    <t>90-80</t>
  </si>
  <si>
    <t>80-70</t>
  </si>
  <si>
    <t>70-60</t>
  </si>
  <si>
    <t>60-50</t>
  </si>
  <si>
    <t>50-40</t>
  </si>
  <si>
    <t>40-30</t>
  </si>
  <si>
    <t>30-20</t>
  </si>
  <si>
    <t>20-10</t>
  </si>
  <si>
    <t>Bottom 10%</t>
  </si>
  <si>
    <t>Output</t>
  </si>
  <si>
    <t>Difference to 2005, 50% target emissions (mt)</t>
  </si>
  <si>
    <t xml:space="preserve">Target emissions missed by </t>
  </si>
  <si>
    <t>Total Number of EV (ex. pre 2021)</t>
  </si>
  <si>
    <t>Share of Evs on street</t>
  </si>
  <si>
    <t>Avg Sales per year</t>
  </si>
  <si>
    <t>Avg Sales per year / Vehicles in 2021</t>
  </si>
  <si>
    <t>Cost of Subidy per Gallon policy ($bn)</t>
  </si>
  <si>
    <t>Cost of pure subsidy policy  ($bn)</t>
  </si>
  <si>
    <t>Vehicles</t>
  </si>
  <si>
    <t>Avg consumption</t>
  </si>
  <si>
    <t>Avg subsidy</t>
  </si>
  <si>
    <t>Groups subsidy</t>
  </si>
  <si>
    <t>Resident of</t>
  </si>
  <si>
    <t>VehicleType</t>
  </si>
  <si>
    <t>Annual Mileage</t>
  </si>
  <si>
    <t>Annual Gallons Displaced</t>
  </si>
  <si>
    <t>EV Subsidy @$12/gallon displaced</t>
  </si>
  <si>
    <t>Monthly Fuel Savings</t>
  </si>
  <si>
    <t>Monthly Mainte-nance Savings</t>
  </si>
  <si>
    <t>Trade-in Value</t>
  </si>
  <si>
    <t>Replace-ment Vehicle</t>
  </si>
  <si>
    <t>New EV Replace-ment Cost</t>
  </si>
  <si>
    <t>Net Cost after subsidy and trade in</t>
  </si>
  <si>
    <t>Car Payment 6 years @ 5%</t>
  </si>
  <si>
    <t>Net Monthly Cost</t>
  </si>
  <si>
    <t>Comments</t>
  </si>
  <si>
    <t>Phoenix Metro</t>
  </si>
  <si>
    <t>Tes Mod Y</t>
  </si>
  <si>
    <t>Arizona</t>
  </si>
  <si>
    <t>Tes Mod 3</t>
  </si>
  <si>
    <t>Cincinattie Metro</t>
  </si>
  <si>
    <t>West Virginia</t>
  </si>
  <si>
    <t>KonaEV</t>
  </si>
  <si>
    <t>North Carolina</t>
  </si>
  <si>
    <t>F-150E</t>
  </si>
  <si>
    <t>Milwakee Metro</t>
  </si>
  <si>
    <t>Chv Bolt LT</t>
  </si>
  <si>
    <t>Houston Metro</t>
  </si>
  <si>
    <t>Atlanta Metro</t>
  </si>
  <si>
    <t>LA Metro</t>
  </si>
  <si>
    <t>Milwaukee Metro</t>
  </si>
  <si>
    <t>New York Metro</t>
  </si>
  <si>
    <t>Kona EV</t>
  </si>
  <si>
    <t>5 passenger cars</t>
  </si>
  <si>
    <t>3 SUV</t>
  </si>
  <si>
    <t>2 Pickup Truck</t>
  </si>
  <si>
    <t># Years</t>
  </si>
  <si>
    <t>Years</t>
  </si>
  <si>
    <t>Emissions modeled total</t>
  </si>
  <si>
    <t>CO2 Metric tons from EV usage</t>
  </si>
  <si>
    <t>khw not renewables</t>
  </si>
  <si>
    <t>EV khw usage</t>
  </si>
  <si>
    <t>EV Mileage</t>
  </si>
  <si>
    <t>Share Renewables</t>
  </si>
  <si>
    <t xml:space="preserve">EVs </t>
  </si>
  <si>
    <t>CO2 Metric tons from gasoline burning</t>
  </si>
  <si>
    <t>Upstream CO2eq</t>
  </si>
  <si>
    <t>Gasoline Consumption</t>
  </si>
  <si>
    <t>Number of Cars</t>
  </si>
  <si>
    <t>Gasoline + khw emissions</t>
  </si>
  <si>
    <t>Energy mix factor * khw from non-renewables *metric tons factor</t>
  </si>
  <si>
    <t>Share of khw not stemming from renewable sources</t>
  </si>
  <si>
    <t>Sum of deciles EV mileage * Assumed 23 khw/mile</t>
  </si>
  <si>
    <t xml:space="preserve">Sum of deciles EV mileage </t>
  </si>
  <si>
    <t>Forecasted share of renewable</t>
  </si>
  <si>
    <t>Total # cars - sum of gasoline vehicles</t>
  </si>
  <si>
    <t>Gasoline consumption * Metric tons CO2/gallon of gasoline</t>
  </si>
  <si>
    <t>Product of Gasoline Consumption and USA gasoline upstream factor</t>
  </si>
  <si>
    <t>Sum of all deciles gasoling consumption</t>
  </si>
  <si>
    <t>Forcast of cars on the streets</t>
  </si>
  <si>
    <t>Gasoline (avg. gasoline usage per group * #gasoline cars)</t>
  </si>
  <si>
    <t>EV Miles (# ev vehicles per group * avg. mileage per group)</t>
  </si>
  <si>
    <t>Assumption</t>
  </si>
  <si>
    <t>implement</t>
  </si>
  <si>
    <t>comment</t>
  </si>
  <si>
    <t>Mileage per groups stays constant</t>
  </si>
  <si>
    <t>khw of EV &amp; MPG on average constant</t>
  </si>
  <si>
    <t>adjust</t>
  </si>
  <si>
    <t>Linear change rates for adoption between 2021 and 2030</t>
  </si>
  <si>
    <t>logarithmic curve</t>
  </si>
  <si>
    <t>Start of model excludes all EV already on the streets</t>
  </si>
  <si>
    <t>Bestmile estimate of NHTS accurate</t>
  </si>
  <si>
    <t>Start: end of 2021</t>
  </si>
  <si>
    <t>Production emissions not relevant</t>
  </si>
  <si>
    <t>not part of transportation sector</t>
  </si>
  <si>
    <t>Charging infrastructure suffienct</t>
  </si>
  <si>
    <t>Maintanance difference between ICE and EV not in model</t>
  </si>
  <si>
    <t>check it out</t>
  </si>
  <si>
    <t xml:space="preserve">for the financial </t>
  </si>
  <si>
    <t xml:space="preserve">Upstream Metric tons CO2 eq per gallon gasoline </t>
  </si>
  <si>
    <t xml:space="preserve">Difference between policies </t>
  </si>
  <si>
    <r>
      <t>Metric tonnes of CO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 equivalent</t>
    </r>
  </si>
  <si>
    <t>Subsidy per Vehicle</t>
  </si>
  <si>
    <t>All consumption groups buys</t>
  </si>
  <si>
    <t>Superusers buy first</t>
  </si>
  <si>
    <t>Reaching 50% emission reduction</t>
  </si>
  <si>
    <t>Subsidy payed per Gallon of Gasoline</t>
  </si>
  <si>
    <t>Subsidy payed per EV sold</t>
  </si>
  <si>
    <t>Profiteur Model</t>
  </si>
  <si>
    <t>Share of Superusers being incentives to take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</si>
</sst>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000000000_);_(* \(#,##0.0000000000\);_(* &quot;-&quot;??_);_(@_)"/>
    <numFmt numFmtId="167" formatCode="_(* #,##0.00000_);_(* \(#,##0.00000\);_(* &quot;-&quot;??_);_(@_)"/>
    <numFmt numFmtId="168" formatCode="_(* #,##0.0000_);_(* \(#,##0.0000\);_(* &quot;-&quot;??_);_(@_)"/>
    <numFmt numFmtId="169" formatCode="_-[$$-409]* #,##0.00_ ;_-[$$-409]* \-#,##0.00\ ;_-[$$-409]* &quot;-&quot;??_ ;_-@_ "/>
    <numFmt numFmtId="170" formatCode="_-[$$-409]* #,##0_ ;_-[$$-409]* \-#,##0\ ;_-[$$-409]* &quot;-&quot;??_ ;_-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164" fontId="0" fillId="0" borderId="0" xfId="0" applyNumberFormat="1"/>
    <xf numFmtId="9" fontId="0" fillId="0" borderId="0" xfId="2" applyFont="1"/>
    <xf numFmtId="1" fontId="0" fillId="0" borderId="0" xfId="0" applyNumberFormat="1"/>
    <xf numFmtId="165" fontId="0" fillId="0" borderId="0" xfId="0" applyNumberFormat="1"/>
    <xf numFmtId="43" fontId="0" fillId="0" borderId="0" xfId="0" applyNumberFormat="1"/>
    <xf numFmtId="0" fontId="0" fillId="0" borderId="2" xfId="0" applyBorder="1"/>
    <xf numFmtId="165" fontId="0" fillId="0" borderId="2" xfId="0" applyNumberFormat="1" applyBorder="1"/>
    <xf numFmtId="9" fontId="0" fillId="0" borderId="2" xfId="2" applyFont="1" applyBorder="1"/>
    <xf numFmtId="9" fontId="0" fillId="0" borderId="2" xfId="0" applyNumberFormat="1" applyBorder="1"/>
    <xf numFmtId="165" fontId="0" fillId="0" borderId="2" xfId="1" applyNumberFormat="1" applyFont="1" applyBorder="1"/>
    <xf numFmtId="0" fontId="0" fillId="0" borderId="0" xfId="0" applyAlignment="1">
      <alignment vertical="top" wrapText="1"/>
    </xf>
    <xf numFmtId="9" fontId="0" fillId="0" borderId="0" xfId="0" applyNumberFormat="1"/>
    <xf numFmtId="0" fontId="0" fillId="0" borderId="0" xfId="0" applyNumberFormat="1"/>
    <xf numFmtId="0" fontId="4" fillId="0" borderId="0" xfId="0" applyFont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3" fillId="0" borderId="0" xfId="0" applyFont="1"/>
    <xf numFmtId="0" fontId="6" fillId="0" borderId="2" xfId="0" applyFont="1" applyBorder="1"/>
    <xf numFmtId="0" fontId="6" fillId="0" borderId="0" xfId="0" applyFont="1"/>
    <xf numFmtId="0" fontId="0" fillId="0" borderId="2" xfId="0" applyFont="1" applyBorder="1"/>
    <xf numFmtId="10" fontId="0" fillId="0" borderId="2" xfId="2" applyNumberFormat="1" applyFont="1" applyBorder="1"/>
    <xf numFmtId="2" fontId="0" fillId="0" borderId="2" xfId="0" applyNumberFormat="1" applyFont="1" applyBorder="1"/>
    <xf numFmtId="4" fontId="7" fillId="0" borderId="2" xfId="0" applyNumberFormat="1" applyFont="1" applyBorder="1"/>
    <xf numFmtId="0" fontId="7" fillId="0" borderId="2" xfId="0" applyFont="1" applyBorder="1"/>
    <xf numFmtId="0" fontId="0" fillId="0" borderId="6" xfId="0" applyBorder="1"/>
    <xf numFmtId="0" fontId="2" fillId="0" borderId="6" xfId="3" applyFont="1" applyBorder="1"/>
    <xf numFmtId="0" fontId="0" fillId="0" borderId="1" xfId="0" applyFont="1" applyBorder="1"/>
    <xf numFmtId="0" fontId="0" fillId="0" borderId="6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10" fontId="0" fillId="0" borderId="10" xfId="0" applyNumberFormat="1" applyFont="1" applyBorder="1" applyAlignment="1">
      <alignment horizontal="left"/>
    </xf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0" fillId="0" borderId="0" xfId="0" applyBorder="1"/>
    <xf numFmtId="0" fontId="9" fillId="0" borderId="6" xfId="3" applyFont="1" applyBorder="1"/>
    <xf numFmtId="0" fontId="0" fillId="0" borderId="2" xfId="0" applyBorder="1" applyAlignment="1">
      <alignment vertical="top" wrapText="1"/>
    </xf>
    <xf numFmtId="165" fontId="0" fillId="0" borderId="2" xfId="0" applyNumberFormat="1" applyBorder="1" applyAlignment="1">
      <alignment vertical="top" wrapText="1"/>
    </xf>
    <xf numFmtId="165" fontId="3" fillId="0" borderId="2" xfId="1" applyNumberFormat="1" applyFont="1" applyBorder="1" applyAlignment="1">
      <alignment horizontal="left" vertical="top" wrapText="1"/>
    </xf>
    <xf numFmtId="165" fontId="0" fillId="0" borderId="2" xfId="1" applyNumberFormat="1" applyFont="1" applyBorder="1" applyAlignment="1">
      <alignment vertical="top" wrapText="1"/>
    </xf>
    <xf numFmtId="43" fontId="0" fillId="0" borderId="2" xfId="1" applyFont="1" applyBorder="1" applyAlignment="1">
      <alignment vertical="top" wrapText="1"/>
    </xf>
    <xf numFmtId="165" fontId="0" fillId="2" borderId="0" xfId="1" applyNumberFormat="1" applyFont="1" applyFill="1"/>
    <xf numFmtId="0" fontId="0" fillId="0" borderId="0" xfId="0" applyAlignment="1">
      <alignment horizontal="right"/>
    </xf>
    <xf numFmtId="10" fontId="0" fillId="0" borderId="3" xfId="0" applyNumberFormat="1" applyFont="1" applyBorder="1" applyAlignment="1">
      <alignment horizontal="left"/>
    </xf>
    <xf numFmtId="165" fontId="0" fillId="0" borderId="4" xfId="1" applyNumberFormat="1" applyFont="1" applyBorder="1"/>
    <xf numFmtId="0" fontId="0" fillId="0" borderId="4" xfId="0" applyFont="1" applyBorder="1"/>
    <xf numFmtId="0" fontId="2" fillId="0" borderId="5" xfId="3" applyFont="1" applyBorder="1"/>
    <xf numFmtId="0" fontId="0" fillId="0" borderId="1" xfId="0" applyFont="1" applyFill="1" applyBorder="1"/>
    <xf numFmtId="0" fontId="0" fillId="0" borderId="14" xfId="0" applyBorder="1"/>
    <xf numFmtId="0" fontId="0" fillId="0" borderId="8" xfId="0" applyBorder="1"/>
    <xf numFmtId="167" fontId="0" fillId="0" borderId="2" xfId="0" applyNumberFormat="1" applyBorder="1"/>
    <xf numFmtId="0" fontId="0" fillId="0" borderId="15" xfId="0" applyBorder="1"/>
    <xf numFmtId="168" fontId="0" fillId="0" borderId="16" xfId="1" applyNumberFormat="1" applyFont="1" applyBorder="1"/>
    <xf numFmtId="0" fontId="0" fillId="0" borderId="16" xfId="0" applyBorder="1"/>
    <xf numFmtId="0" fontId="2" fillId="0" borderId="17" xfId="3" applyBorder="1"/>
    <xf numFmtId="0" fontId="0" fillId="0" borderId="9" xfId="0" applyBorder="1"/>
    <xf numFmtId="44" fontId="0" fillId="0" borderId="2" xfId="4" applyFont="1" applyBorder="1"/>
    <xf numFmtId="43" fontId="0" fillId="0" borderId="3" xfId="0" applyNumberFormat="1" applyBorder="1"/>
    <xf numFmtId="43" fontId="0" fillId="0" borderId="4" xfId="0" applyNumberFormat="1" applyBorder="1"/>
    <xf numFmtId="43" fontId="0" fillId="0" borderId="5" xfId="0" applyNumberFormat="1" applyBorder="1"/>
    <xf numFmtId="43" fontId="0" fillId="0" borderId="1" xfId="0" applyNumberFormat="1" applyBorder="1"/>
    <xf numFmtId="44" fontId="0" fillId="0" borderId="1" xfId="4" applyFont="1" applyBorder="1"/>
    <xf numFmtId="44" fontId="0" fillId="0" borderId="6" xfId="4" applyFont="1" applyBorder="1"/>
    <xf numFmtId="44" fontId="0" fillId="0" borderId="7" xfId="4" applyFont="1" applyBorder="1"/>
    <xf numFmtId="44" fontId="0" fillId="0" borderId="8" xfId="4" applyFont="1" applyBorder="1"/>
    <xf numFmtId="43" fontId="0" fillId="0" borderId="8" xfId="0" applyNumberFormat="1" applyBorder="1"/>
    <xf numFmtId="43" fontId="0" fillId="0" borderId="9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right" indent="2"/>
    </xf>
    <xf numFmtId="0" fontId="0" fillId="0" borderId="24" xfId="0" applyBorder="1"/>
    <xf numFmtId="0" fontId="0" fillId="0" borderId="18" xfId="0" applyBorder="1"/>
    <xf numFmtId="6" fontId="0" fillId="0" borderId="0" xfId="0" applyNumberFormat="1" applyBorder="1"/>
    <xf numFmtId="0" fontId="0" fillId="0" borderId="2" xfId="0" applyFont="1" applyFill="1" applyBorder="1"/>
    <xf numFmtId="9" fontId="0" fillId="0" borderId="0" xfId="0" applyNumberFormat="1" applyBorder="1"/>
    <xf numFmtId="0" fontId="10" fillId="0" borderId="0" xfId="0" applyFont="1" applyFill="1" applyBorder="1"/>
    <xf numFmtId="0" fontId="0" fillId="0" borderId="2" xfId="0" applyBorder="1" applyAlignment="1">
      <alignment horizontal="right" indent="2"/>
    </xf>
    <xf numFmtId="0" fontId="0" fillId="0" borderId="17" xfId="0" applyBorder="1"/>
    <xf numFmtId="0" fontId="0" fillId="0" borderId="7" xfId="0" applyFill="1" applyBorder="1"/>
    <xf numFmtId="0" fontId="0" fillId="0" borderId="25" xfId="0" applyFill="1" applyBorder="1"/>
    <xf numFmtId="0" fontId="0" fillId="0" borderId="2" xfId="0" applyBorder="1" applyAlignment="1">
      <alignment horizontal="right"/>
    </xf>
    <xf numFmtId="0" fontId="0" fillId="0" borderId="0" xfId="0" applyFont="1" applyFill="1" applyBorder="1"/>
    <xf numFmtId="170" fontId="0" fillId="0" borderId="16" xfId="0" applyNumberFormat="1" applyBorder="1"/>
    <xf numFmtId="170" fontId="0" fillId="0" borderId="8" xfId="0" applyNumberFormat="1" applyBorder="1"/>
    <xf numFmtId="169" fontId="0" fillId="0" borderId="2" xfId="4" applyNumberFormat="1" applyFont="1" applyBorder="1"/>
    <xf numFmtId="169" fontId="0" fillId="0" borderId="26" xfId="0" applyNumberFormat="1" applyBorder="1"/>
    <xf numFmtId="0" fontId="11" fillId="0" borderId="1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29" xfId="0" applyFont="1" applyBorder="1" applyAlignment="1">
      <alignment vertical="center" wrapText="1"/>
    </xf>
    <xf numFmtId="3" fontId="11" fillId="0" borderId="29" xfId="0" applyNumberFormat="1" applyFont="1" applyBorder="1" applyAlignment="1">
      <alignment vertical="center" wrapText="1"/>
    </xf>
    <xf numFmtId="1" fontId="11" fillId="0" borderId="29" xfId="0" applyNumberFormat="1" applyFont="1" applyBorder="1" applyAlignment="1">
      <alignment vertical="center" wrapText="1"/>
    </xf>
    <xf numFmtId="8" fontId="11" fillId="0" borderId="29" xfId="0" applyNumberFormat="1" applyFont="1" applyBorder="1" applyAlignment="1">
      <alignment vertical="center" wrapText="1"/>
    </xf>
    <xf numFmtId="6" fontId="11" fillId="0" borderId="29" xfId="0" applyNumberFormat="1" applyFont="1" applyBorder="1" applyAlignment="1">
      <alignment vertical="center" wrapText="1"/>
    </xf>
    <xf numFmtId="168" fontId="0" fillId="0" borderId="30" xfId="0" applyNumberForma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Fill="1" applyBorder="1"/>
    <xf numFmtId="166" fontId="3" fillId="0" borderId="2" xfId="1" applyNumberFormat="1" applyFont="1" applyBorder="1"/>
    <xf numFmtId="165" fontId="0" fillId="0" borderId="0" xfId="1" applyNumberFormat="1" applyFont="1"/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vs linear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logistic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model!$B$3:$B$12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input_tables!$B$16:$B$26</c:f>
              <c:numCache>
                <c:formatCode>0%</c:formatCode>
                <c:ptCount val="11"/>
                <c:pt idx="0">
                  <c:v>1</c:v>
                </c:pt>
                <c:pt idx="1">
                  <c:v>0.98780487804878048</c:v>
                </c:pt>
                <c:pt idx="2">
                  <c:v>0.94117647058823528</c:v>
                </c:pt>
                <c:pt idx="3">
                  <c:v>0.84482758620689657</c:v>
                </c:pt>
                <c:pt idx="4">
                  <c:v>0.6923076923076924</c:v>
                </c:pt>
                <c:pt idx="5">
                  <c:v>0.50000000000000022</c:v>
                </c:pt>
                <c:pt idx="6">
                  <c:v>0.30769230769230793</c:v>
                </c:pt>
                <c:pt idx="7">
                  <c:v>0.15517241379310365</c:v>
                </c:pt>
                <c:pt idx="8">
                  <c:v>5.8823529411764802E-2</c:v>
                </c:pt>
                <c:pt idx="9">
                  <c:v>1.2195121951219551E-2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E-4CA0-93AE-BC7240C40BC2}"/>
            </c:ext>
          </c:extLst>
        </c:ser>
        <c:ser>
          <c:idx val="1"/>
          <c:order val="1"/>
          <c:tx>
            <c:v>linear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model!$B$3:$B$12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input_tables!$B$3:$B$12</c:f>
              <c:numCache>
                <c:formatCode>0%</c:formatCode>
                <c:ptCount val="10"/>
                <c:pt idx="0">
                  <c:v>0.99999999999999967</c:v>
                </c:pt>
                <c:pt idx="1">
                  <c:v>0.92341666666666633</c:v>
                </c:pt>
                <c:pt idx="2">
                  <c:v>0.84683333333333299</c:v>
                </c:pt>
                <c:pt idx="3">
                  <c:v>0.77024999999999966</c:v>
                </c:pt>
                <c:pt idx="4">
                  <c:v>0.69366666666666632</c:v>
                </c:pt>
                <c:pt idx="5">
                  <c:v>0.61708333333333298</c:v>
                </c:pt>
                <c:pt idx="6">
                  <c:v>0.54049999999999965</c:v>
                </c:pt>
                <c:pt idx="7">
                  <c:v>0.46391666666666637</c:v>
                </c:pt>
                <c:pt idx="8">
                  <c:v>0.38733333333333309</c:v>
                </c:pt>
                <c:pt idx="9">
                  <c:v>0.31075000000000003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E-4CA0-93AE-BC7240C4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968687"/>
        <c:axId val="1591969519"/>
      </c:lineChart>
      <c:catAx>
        <c:axId val="159196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69519"/>
        <c:crosses val="autoZero"/>
        <c:auto val="1"/>
        <c:lblAlgn val="ctr"/>
        <c:lblOffset val="100"/>
        <c:noMultiLvlLbl val="0"/>
      </c:catAx>
      <c:valAx>
        <c:axId val="15919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6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</a:t>
            </a:r>
            <a:r>
              <a:rPr lang="en-US" baseline="0"/>
              <a:t> SUPER- AND HIGH- GASOLINE USERS BUY THEIR EV FIRST, WE CAN ACHIEVE 50% EMISSION REDUCTION BY 2030 WITH LESS VEHICLES TO BE REPLACED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groups</c:v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outcome_graphs!$B$6:$C$6</c:f>
              <c:strCache>
                <c:ptCount val="2"/>
                <c:pt idx="0">
                  <c:v>All consumption groups buys</c:v>
                </c:pt>
                <c:pt idx="1">
                  <c:v>Superusers buy first</c:v>
                </c:pt>
              </c:strCache>
            </c:strRef>
          </c:cat>
          <c:val>
            <c:numRef>
              <c:f>outcome_graphs!$B$10:$C$10</c:f>
              <c:numCache>
                <c:formatCode>_(* #,##0_);_(* \(#,##0\);_(* "-"??_);_(@_)</c:formatCode>
                <c:ptCount val="2"/>
                <c:pt idx="0">
                  <c:v>196662563.69953066</c:v>
                </c:pt>
                <c:pt idx="1">
                  <c:v>117126970.99289173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E-40D6-BB4A-823775238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473728"/>
        <c:axId val="1186477056"/>
      </c:barChart>
      <c:catAx>
        <c:axId val="11864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77056"/>
        <c:crosses val="autoZero"/>
        <c:auto val="1"/>
        <c:lblAlgn val="ctr"/>
        <c:lblOffset val="100"/>
        <c:noMultiLvlLbl val="0"/>
      </c:catAx>
      <c:valAx>
        <c:axId val="11864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Vehicles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REACHING 50% EMISSION CUT UNTIL 2030, AN EV SUBSIDY OF </a:t>
            </a:r>
            <a:r>
              <a:rPr lang="en-US" b="1" baseline="0"/>
              <a:t>$10 PER GALLON USED </a:t>
            </a:r>
            <a:r>
              <a:rPr lang="en-US" baseline="0"/>
              <a:t>OR </a:t>
            </a:r>
            <a:r>
              <a:rPr lang="en-US" b="1" baseline="0"/>
              <a:t>$10,000 PER EV BOUGHT</a:t>
            </a:r>
            <a:r>
              <a:rPr lang="en-US" baseline="0"/>
              <a:t> RESULT IN DIFFERENT POLICY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outcome_graphs!$A$7</c:f>
              <c:strCache>
                <c:ptCount val="1"/>
                <c:pt idx="0">
                  <c:v>Subsidy payed per Gallon of Gasoline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outcome_graphs!$B$6:$C$6</c:f>
              <c:strCache>
                <c:ptCount val="2"/>
                <c:pt idx="0">
                  <c:v>All consumption groups buys</c:v>
                </c:pt>
                <c:pt idx="1">
                  <c:v>Superusers buy first</c:v>
                </c:pt>
              </c:strCache>
            </c:strRef>
          </c:cat>
          <c:val>
            <c:numRef>
              <c:f>outcome_graphs!$B$7:$C$7</c:f>
              <c:numCache>
                <c:formatCode>General</c:formatCode>
                <c:ptCount val="2"/>
                <c:pt idx="0" formatCode="_-[$$-409]* #,##0.00_ ;_-[$$-409]* \-#,##0.00\ ;_-[$$-409]* &quot;-&quot;??_ ;_-@_ ">
                  <c:v>985.89932765773199</c:v>
                </c:pt>
                <c:pt idx="1">
                  <c:v>1024.642992504256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8-4CF0-843D-D6CF98D40A2C}"/>
            </c:ext>
          </c:extLst>
        </c:ser>
        <c:ser>
          <c:idx val="1"/>
          <c:order val="1"/>
          <c:tx>
            <c:strRef>
              <c:f>outcome_graphs!$A$8</c:f>
              <c:strCache>
                <c:ptCount val="1"/>
                <c:pt idx="0">
                  <c:v>Subsidy payed per EV sold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f>outcome_graphs!$B$6:$C$6</c:f>
              <c:strCache>
                <c:ptCount val="2"/>
                <c:pt idx="0">
                  <c:v>All consumption groups buys</c:v>
                </c:pt>
                <c:pt idx="1">
                  <c:v>Superusers buy first</c:v>
                </c:pt>
              </c:strCache>
            </c:strRef>
          </c:cat>
          <c:val>
            <c:numRef>
              <c:f>outcome_graphs!$B$8:$C$8</c:f>
              <c:numCache>
                <c:formatCode>General</c:formatCode>
                <c:ptCount val="2"/>
                <c:pt idx="0" formatCode="_-[$$-409]* #,##0.00_ ;_-[$$-409]* \-#,##0.00\ ;_-[$$-409]* &quot;-&quot;??_ ;_-@_ ">
                  <c:v>1967.4819326282507</c:v>
                </c:pt>
                <c:pt idx="1">
                  <c:v>1171.2697099289173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8-4CF0-843D-D6CF98D40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176912"/>
        <c:axId val="1459175248"/>
      </c:barChart>
      <c:catAx>
        <c:axId val="14591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75248"/>
        <c:crosses val="autoZero"/>
        <c:auto val="1"/>
        <c:lblAlgn val="ctr"/>
        <c:lblOffset val="100"/>
        <c:noMultiLvlLbl val="0"/>
      </c:catAx>
      <c:valAx>
        <c:axId val="14591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  <a:r>
                  <a:rPr lang="en-US" baseline="0"/>
                  <a:t> (bn)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</a:t>
            </a:r>
            <a:r>
              <a:rPr lang="en-US" baseline="0"/>
              <a:t> SUPERUSERS BEING INCENTIFIED TO BUY AN EV WHILE POLICY REPLACING SAME AMOUNT OF GASOLINE AND COUSING EQUAL AMOUNT OF COSTS  </a:t>
            </a:r>
            <a:endParaRPr lang="en-US"/>
          </a:p>
        </c:rich>
      </c:tx>
      <c:layout>
        <c:manualLayout>
          <c:xMode val="edge"/>
          <c:yMode val="edge"/>
          <c:x val="0.146611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outcome_graphs!$A$49</c:f>
              <c:strCache>
                <c:ptCount val="1"/>
                <c:pt idx="0">
                  <c:v>Share of Superusers being incentives to take subsidy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outcome_graphs!$B$48:$C$48</c:f>
              <c:strCache>
                <c:ptCount val="2"/>
                <c:pt idx="0">
                  <c:v>Subsidy payed per EV sold</c:v>
                </c:pt>
                <c:pt idx="1">
                  <c:v>Subsidy payed per Gallon of Gasoline</c:v>
                </c:pt>
              </c:strCache>
            </c:strRef>
          </c:cat>
          <c:val>
            <c:numRef>
              <c:f>outcome_graphs!$B$49:$C$49</c:f>
              <c:numCache>
                <c:formatCode>0%</c:formatCode>
                <c:ptCount val="2"/>
                <c:pt idx="0">
                  <c:v>0.77</c:v>
                </c:pt>
                <c:pt idx="1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16-4B58-BB7A-C118CA28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24064"/>
        <c:axId val="1001620736"/>
      </c:barChart>
      <c:catAx>
        <c:axId val="10016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20736"/>
        <c:crosses val="autoZero"/>
        <c:auto val="1"/>
        <c:lblAlgn val="ctr"/>
        <c:lblOffset val="100"/>
        <c:noMultiLvlLbl val="0"/>
      </c:catAx>
      <c:valAx>
        <c:axId val="10016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2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14</xdr:row>
      <xdr:rowOff>152400</xdr:rowOff>
    </xdr:from>
    <xdr:to>
      <xdr:col>11</xdr:col>
      <xdr:colOff>106680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BA7357-FF7B-42CD-B52F-DB783A986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68580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D9369-4CBF-489D-8280-AA12E4749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21</xdr:row>
      <xdr:rowOff>156210</xdr:rowOff>
    </xdr:from>
    <xdr:to>
      <xdr:col>13</xdr:col>
      <xdr:colOff>243840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DC060D-D6C0-47FB-A20C-52A9EEA06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129540</xdr:colOff>
      <xdr:row>41</xdr:row>
      <xdr:rowOff>64770</xdr:rowOff>
    </xdr:from>
    <xdr:to>
      <xdr:col>12</xdr:col>
      <xdr:colOff>533400</xdr:colOff>
      <xdr:row>60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3831FB-633E-408C-B7DC-100B5729E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Output/mp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_Output/bestmi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_Output/fuel_us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_Output/avg_subsid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_model_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FEGEMPG</v>
          </cell>
        </row>
        <row r="2">
          <cell r="C2">
            <v>23.46904361383498</v>
          </cell>
        </row>
        <row r="3">
          <cell r="C3">
            <v>23.306814918147129</v>
          </cell>
        </row>
        <row r="4">
          <cell r="C4">
            <v>23.003569523653219</v>
          </cell>
        </row>
        <row r="5">
          <cell r="C5">
            <v>22.640257662167151</v>
          </cell>
        </row>
        <row r="6">
          <cell r="C6">
            <v>22.256800557994499</v>
          </cell>
        </row>
        <row r="7">
          <cell r="C7">
            <v>21.75882159855572</v>
          </cell>
        </row>
        <row r="8">
          <cell r="C8">
            <v>21.201329339843269</v>
          </cell>
        </row>
        <row r="9">
          <cell r="C9">
            <v>20.567143970787349</v>
          </cell>
        </row>
        <row r="10">
          <cell r="C10">
            <v>19.82907315472039</v>
          </cell>
        </row>
        <row r="11">
          <cell r="C11">
            <v>18.491404422927008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BESTMILE</v>
          </cell>
        </row>
        <row r="2">
          <cell r="C2">
            <v>1249.7666266239801</v>
          </cell>
        </row>
        <row r="3">
          <cell r="C3">
            <v>3396.987483644421</v>
          </cell>
        </row>
        <row r="4">
          <cell r="C4">
            <v>5170.908917494894</v>
          </cell>
        </row>
        <row r="5">
          <cell r="C5">
            <v>6792.3395733958232</v>
          </cell>
        </row>
        <row r="6">
          <cell r="C6">
            <v>8380.1516858629893</v>
          </cell>
        </row>
        <row r="7">
          <cell r="C7">
            <v>10007.694498827799</v>
          </cell>
        </row>
        <row r="8">
          <cell r="C8">
            <v>11819.162693827549</v>
          </cell>
        </row>
        <row r="9">
          <cell r="C9">
            <v>14045.54607745975</v>
          </cell>
        </row>
        <row r="10">
          <cell r="C10">
            <v>17420.973935629281</v>
          </cell>
        </row>
        <row r="11">
          <cell r="C11">
            <v>30348.047945820159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GSYRGAL</v>
          </cell>
        </row>
        <row r="2">
          <cell r="C2">
            <v>53.375513648853158</v>
          </cell>
        </row>
        <row r="3">
          <cell r="C3">
            <v>145.86770153677861</v>
          </cell>
        </row>
        <row r="4">
          <cell r="C4">
            <v>224.8451904288699</v>
          </cell>
        </row>
        <row r="5">
          <cell r="C5">
            <v>300.05233857244718</v>
          </cell>
        </row>
        <row r="6">
          <cell r="C6">
            <v>376.63785071467282</v>
          </cell>
        </row>
        <row r="7">
          <cell r="C7">
            <v>460.09478064333217</v>
          </cell>
        </row>
        <row r="8">
          <cell r="C8">
            <v>557.70808215710349</v>
          </cell>
        </row>
        <row r="9">
          <cell r="C9">
            <v>683.28168121620035</v>
          </cell>
        </row>
        <row r="10">
          <cell r="C10">
            <v>879.49991527370355</v>
          </cell>
        </row>
        <row r="11">
          <cell r="C11">
            <v>1654.2834917512409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948.734079947498</v>
          </cell>
        </row>
        <row r="3">
          <cell r="B3">
            <v>3212.8182862665021</v>
          </cell>
        </row>
        <row r="4">
          <cell r="B4">
            <v>5254.5156172400439</v>
          </cell>
        </row>
        <row r="5">
          <cell r="B5">
            <v>7185.187816049619</v>
          </cell>
        </row>
        <row r="6">
          <cell r="B6">
            <v>9132.9607429768439</v>
          </cell>
        </row>
        <row r="7">
          <cell r="B7">
            <v>11242.980833781599</v>
          </cell>
        </row>
        <row r="8">
          <cell r="B8">
            <v>13699.115224845271</v>
          </cell>
        </row>
        <row r="9">
          <cell r="B9">
            <v>16842.298143910339</v>
          </cell>
        </row>
        <row r="10">
          <cell r="B10">
            <v>21738.74747320712</v>
          </cell>
        </row>
        <row r="11">
          <cell r="B11">
            <v>29145.557676900538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D2" t="str">
            <v>Phoenix-Mesa-Scottsdale, AZ</v>
          </cell>
          <cell r="H2">
            <v>9086</v>
          </cell>
          <cell r="L2">
            <v>453.52912259286899</v>
          </cell>
          <cell r="T2" t="str">
            <v>BMW</v>
          </cell>
          <cell r="V2" t="str">
            <v>X3</v>
          </cell>
          <cell r="Y2">
            <v>2016</v>
          </cell>
          <cell r="AN2">
            <v>870.8137094718561</v>
          </cell>
        </row>
        <row r="3">
          <cell r="H3">
            <v>15000</v>
          </cell>
          <cell r="L3">
            <v>677.08023047211896</v>
          </cell>
          <cell r="T3" t="str">
            <v xml:space="preserve">Buick </v>
          </cell>
          <cell r="V3" t="str">
            <v>Regal (FWD)</v>
          </cell>
          <cell r="Y3">
            <v>2004</v>
          </cell>
          <cell r="AN3">
            <v>1259.48207538322</v>
          </cell>
        </row>
        <row r="4">
          <cell r="H4">
            <v>40000</v>
          </cell>
          <cell r="L4">
            <v>1370.09035818083</v>
          </cell>
          <cell r="T4" t="str">
            <v>Ford</v>
          </cell>
          <cell r="V4" t="str">
            <v>Taurus X</v>
          </cell>
          <cell r="Y4">
            <v>2014</v>
          </cell>
          <cell r="AN4">
            <v>2265.5585814485271</v>
          </cell>
        </row>
        <row r="5">
          <cell r="H5">
            <v>25000</v>
          </cell>
          <cell r="L5">
            <v>1181.0332971902999</v>
          </cell>
          <cell r="T5" t="str">
            <v>Hyundai</v>
          </cell>
          <cell r="V5" t="str">
            <v>Santa Fe</v>
          </cell>
          <cell r="Y5">
            <v>2015</v>
          </cell>
          <cell r="AN5">
            <v>2012.1854800879671</v>
          </cell>
        </row>
        <row r="6">
          <cell r="H6">
            <v>5000</v>
          </cell>
          <cell r="L6">
            <v>221.645898932699</v>
          </cell>
          <cell r="T6" t="str">
            <v>Chevrolet</v>
          </cell>
          <cell r="V6" t="str">
            <v>T-10 Pickup</v>
          </cell>
          <cell r="Y6">
            <v>2000</v>
          </cell>
          <cell r="AN6">
            <v>390.48466244468227</v>
          </cell>
        </row>
        <row r="7">
          <cell r="H7">
            <v>10000</v>
          </cell>
          <cell r="L7">
            <v>467.53035891408098</v>
          </cell>
          <cell r="T7" t="str">
            <v>Toyota</v>
          </cell>
          <cell r="V7" t="str">
            <v>Highlander</v>
          </cell>
          <cell r="Y7">
            <v>2005</v>
          </cell>
          <cell r="AN7">
            <v>788.4899503086026</v>
          </cell>
        </row>
        <row r="8">
          <cell r="H8">
            <v>21000</v>
          </cell>
          <cell r="L8">
            <v>616.64711147996104</v>
          </cell>
          <cell r="T8" t="str">
            <v>Nissan</v>
          </cell>
          <cell r="V8" t="str">
            <v>Sentra</v>
          </cell>
          <cell r="Y8">
            <v>2015</v>
          </cell>
          <cell r="AN8">
            <v>1023.068945204545</v>
          </cell>
        </row>
        <row r="9">
          <cell r="H9">
            <v>6000</v>
          </cell>
          <cell r="L9">
            <v>303.36419113554803</v>
          </cell>
          <cell r="T9" t="str">
            <v>Lincoln</v>
          </cell>
          <cell r="V9" t="str">
            <v>MKX</v>
          </cell>
          <cell r="Y9">
            <v>2013</v>
          </cell>
          <cell r="AN9">
            <v>469.05160019407953</v>
          </cell>
        </row>
        <row r="10">
          <cell r="H10">
            <v>45000</v>
          </cell>
          <cell r="L10">
            <v>2335.0126876181598</v>
          </cell>
          <cell r="T10" t="str">
            <v>Toyota</v>
          </cell>
          <cell r="V10" t="str">
            <v>Tacoma</v>
          </cell>
          <cell r="Y10">
            <v>2010</v>
          </cell>
          <cell r="AN10">
            <v>4113.7086024113023</v>
          </cell>
        </row>
        <row r="11">
          <cell r="H11">
            <v>5000</v>
          </cell>
          <cell r="L11">
            <v>217.32945009909599</v>
          </cell>
          <cell r="T11" t="str">
            <v>Audi</v>
          </cell>
          <cell r="V11" t="str">
            <v>Q5</v>
          </cell>
          <cell r="Y11">
            <v>2013</v>
          </cell>
          <cell r="AN11">
            <v>476.36804382970922</v>
          </cell>
        </row>
        <row r="14">
          <cell r="H14">
            <v>4500</v>
          </cell>
          <cell r="L14">
            <v>203.27504720317</v>
          </cell>
          <cell r="T14" t="str">
            <v>GMC</v>
          </cell>
          <cell r="V14" t="str">
            <v>Terrain</v>
          </cell>
          <cell r="Y14">
            <v>2015</v>
          </cell>
          <cell r="AN14">
            <v>331.03341437036261</v>
          </cell>
        </row>
        <row r="15">
          <cell r="H15">
            <v>6000</v>
          </cell>
          <cell r="L15">
            <v>258.937598212164</v>
          </cell>
          <cell r="T15" t="str">
            <v>Nissan</v>
          </cell>
          <cell r="V15" t="str">
            <v>Rogue</v>
          </cell>
          <cell r="Y15">
            <v>2011</v>
          </cell>
          <cell r="AN15">
            <v>458.14692377005508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gasoline/use-of-gasoline.php" TargetMode="External"/><Relationship Id="rId2" Type="http://schemas.openxmlformats.org/officeDocument/2006/relationships/hyperlink" Target="https://www.epa.gov/energy/greenhouse-gases-equivalencies-calculator-calculations-and-references" TargetMode="External"/><Relationship Id="rId1" Type="http://schemas.openxmlformats.org/officeDocument/2006/relationships/hyperlink" Target="https://ops.fhwa.dot.gov/freight/freight_analysis/nat_freight_stats/docs/12factsfigures/table5_17.ht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statista.com/statistics/1070949/worldwide-emission-from-oil-production-by-country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FB26-16EE-40DC-A664-FC1A626F3744}">
  <dimension ref="A2:O18"/>
  <sheetViews>
    <sheetView workbookViewId="0">
      <selection activeCell="J24" sqref="J24"/>
    </sheetView>
  </sheetViews>
  <sheetFormatPr defaultRowHeight="14.4" x14ac:dyDescent="0.3"/>
  <cols>
    <col min="1" max="1" width="6" bestFit="1" customWidth="1"/>
    <col min="2" max="2" width="22.109375" bestFit="1" customWidth="1"/>
    <col min="3" max="3" width="13.6640625" bestFit="1" customWidth="1"/>
    <col min="4" max="6" width="13.6640625" customWidth="1"/>
    <col min="7" max="7" width="17.6640625" bestFit="1" customWidth="1"/>
    <col min="8" max="8" width="15.5546875" bestFit="1" customWidth="1"/>
    <col min="9" max="9" width="13.6640625" bestFit="1" customWidth="1"/>
    <col min="10" max="10" width="17.33203125" bestFit="1" customWidth="1"/>
    <col min="11" max="12" width="13.6640625" customWidth="1"/>
    <col min="13" max="13" width="14.5546875" bestFit="1" customWidth="1"/>
    <col min="14" max="14" width="13.6640625" bestFit="1" customWidth="1"/>
    <col min="15" max="15" width="14.6640625" bestFit="1" customWidth="1"/>
  </cols>
  <sheetData>
    <row r="2" spans="1:15" x14ac:dyDescent="0.3">
      <c r="C2" s="99" t="s">
        <v>0</v>
      </c>
      <c r="D2" s="99"/>
      <c r="E2" s="99"/>
      <c r="F2" s="99"/>
      <c r="G2" s="99" t="s">
        <v>1</v>
      </c>
      <c r="H2" s="99"/>
      <c r="I2" s="99"/>
      <c r="J2" s="99" t="s">
        <v>2</v>
      </c>
      <c r="K2" s="99"/>
      <c r="L2" s="99"/>
      <c r="M2" s="99" t="s">
        <v>3</v>
      </c>
      <c r="N2" s="99"/>
    </row>
    <row r="3" spans="1:15" x14ac:dyDescent="0.3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7</v>
      </c>
      <c r="H3" t="s">
        <v>8</v>
      </c>
      <c r="I3" t="s">
        <v>9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9</v>
      </c>
    </row>
    <row r="4" spans="1:15" x14ac:dyDescent="0.3">
      <c r="A4">
        <v>10</v>
      </c>
      <c r="B4" s="1">
        <v>44.663249445298518</v>
      </c>
      <c r="C4" s="2">
        <f>B4/$B$14</f>
        <v>0.31452992567111632</v>
      </c>
      <c r="D4" s="2">
        <f>C4*(1-E4)</f>
        <v>0</v>
      </c>
      <c r="E4" s="2">
        <v>1</v>
      </c>
      <c r="F4" s="3">
        <f t="shared" ref="F4:F13" si="0">E4*$C$18</f>
        <v>28000000</v>
      </c>
      <c r="G4" s="2">
        <f t="shared" ref="G4:G13" si="1">C4*(1-H4)</f>
        <v>6.2905985134223255E-2</v>
      </c>
      <c r="H4" s="2">
        <v>0.8</v>
      </c>
      <c r="I4" s="3">
        <f t="shared" ref="I4:I13" si="2">H4*$C$18</f>
        <v>22400000</v>
      </c>
      <c r="J4" s="2">
        <f>C4*(1-K4)</f>
        <v>9.4358977701334903E-2</v>
      </c>
      <c r="K4" s="2">
        <v>0.7</v>
      </c>
      <c r="L4" s="3">
        <f t="shared" ref="L4:L13" si="3">K4*$C$18</f>
        <v>19600000</v>
      </c>
      <c r="M4" s="2">
        <f t="shared" ref="M4:M13" si="4">C4*N4</f>
        <v>0.15726496283555816</v>
      </c>
      <c r="N4" s="2">
        <v>0.5</v>
      </c>
      <c r="O4" s="3">
        <f t="shared" ref="O4:O13" si="5">N4*$C$18</f>
        <v>14000000</v>
      </c>
    </row>
    <row r="5" spans="1:15" x14ac:dyDescent="0.3">
      <c r="A5">
        <v>9</v>
      </c>
      <c r="B5" s="1">
        <v>23.706848095470505</v>
      </c>
      <c r="C5" s="2">
        <f t="shared" ref="C5:C13" si="6">B5/$B$14</f>
        <v>0.16694963447514441</v>
      </c>
      <c r="D5" s="2">
        <f t="shared" ref="D5:D13" si="7">C5*(1-E5)</f>
        <v>0</v>
      </c>
      <c r="E5" s="2">
        <v>1</v>
      </c>
      <c r="F5" s="3">
        <f t="shared" si="0"/>
        <v>28000000</v>
      </c>
      <c r="G5" s="2">
        <f t="shared" si="1"/>
        <v>5.0084890342543327E-2</v>
      </c>
      <c r="H5" s="2">
        <v>0.7</v>
      </c>
      <c r="I5" s="3">
        <f t="shared" si="2"/>
        <v>19600000</v>
      </c>
      <c r="J5" s="2">
        <f t="shared" ref="J5:J13" si="8">C5*(1-K5)</f>
        <v>5.8432372066300538E-2</v>
      </c>
      <c r="K5" s="2">
        <v>0.65</v>
      </c>
      <c r="L5" s="3">
        <f t="shared" si="3"/>
        <v>18200000</v>
      </c>
      <c r="M5" s="2">
        <f t="shared" si="4"/>
        <v>8.3474817237572205E-2</v>
      </c>
      <c r="N5" s="2">
        <v>0.5</v>
      </c>
      <c r="O5" s="3">
        <f t="shared" si="5"/>
        <v>14000000</v>
      </c>
    </row>
    <row r="6" spans="1:15" x14ac:dyDescent="0.3">
      <c r="A6">
        <v>8</v>
      </c>
      <c r="B6" s="1">
        <v>18.366368372748912</v>
      </c>
      <c r="C6" s="2">
        <f t="shared" si="6"/>
        <v>0.12934062234330221</v>
      </c>
      <c r="D6" s="2">
        <f t="shared" si="7"/>
        <v>0.10993952899180687</v>
      </c>
      <c r="E6" s="2">
        <v>0.15</v>
      </c>
      <c r="F6" s="3">
        <f t="shared" si="0"/>
        <v>4200000</v>
      </c>
      <c r="G6" s="2">
        <f t="shared" si="1"/>
        <v>5.1736248937320886E-2</v>
      </c>
      <c r="H6" s="2">
        <v>0.6</v>
      </c>
      <c r="I6" s="3">
        <f t="shared" si="2"/>
        <v>16800000</v>
      </c>
      <c r="J6" s="2">
        <f t="shared" si="8"/>
        <v>5.8203280054485988E-2</v>
      </c>
      <c r="K6" s="2">
        <v>0.55000000000000004</v>
      </c>
      <c r="L6" s="3">
        <f t="shared" si="3"/>
        <v>15400000.000000002</v>
      </c>
      <c r="M6" s="2">
        <f t="shared" si="4"/>
        <v>6.4670311171651104E-2</v>
      </c>
      <c r="N6" s="2">
        <v>0.5</v>
      </c>
      <c r="O6" s="3">
        <f t="shared" si="5"/>
        <v>14000000</v>
      </c>
    </row>
    <row r="7" spans="1:15" x14ac:dyDescent="0.3">
      <c r="A7">
        <v>7</v>
      </c>
      <c r="B7" s="1">
        <v>14.939353984309276</v>
      </c>
      <c r="C7" s="2">
        <f t="shared" si="6"/>
        <v>0.1052067181993611</v>
      </c>
      <c r="D7" s="2">
        <f t="shared" si="7"/>
        <v>0.1052067181993611</v>
      </c>
      <c r="E7" s="2">
        <v>0</v>
      </c>
      <c r="F7" s="3">
        <f t="shared" si="0"/>
        <v>0</v>
      </c>
      <c r="G7" s="2">
        <f t="shared" si="1"/>
        <v>5.2603359099680551E-2</v>
      </c>
      <c r="H7" s="2">
        <v>0.5</v>
      </c>
      <c r="I7" s="3">
        <f t="shared" si="2"/>
        <v>14000000</v>
      </c>
      <c r="J7" s="2">
        <f t="shared" si="8"/>
        <v>5.7863695009648608E-2</v>
      </c>
      <c r="K7" s="2">
        <v>0.45</v>
      </c>
      <c r="L7" s="3">
        <f t="shared" si="3"/>
        <v>12600000</v>
      </c>
      <c r="M7" s="2">
        <f t="shared" si="4"/>
        <v>5.2603359099680551E-2</v>
      </c>
      <c r="N7" s="2">
        <v>0.5</v>
      </c>
      <c r="O7" s="3">
        <f t="shared" si="5"/>
        <v>14000000</v>
      </c>
    </row>
    <row r="8" spans="1:15" x14ac:dyDescent="0.3">
      <c r="A8">
        <v>6</v>
      </c>
      <c r="B8" s="1">
        <v>12.260365291992407</v>
      </c>
      <c r="C8" s="2">
        <f t="shared" si="6"/>
        <v>8.6340600647833859E-2</v>
      </c>
      <c r="D8" s="2">
        <f t="shared" si="7"/>
        <v>8.6340600647833859E-2</v>
      </c>
      <c r="E8" s="2">
        <v>0</v>
      </c>
      <c r="F8" s="3">
        <f t="shared" si="0"/>
        <v>0</v>
      </c>
      <c r="G8" s="2">
        <f t="shared" si="1"/>
        <v>8.6340600647833859E-2</v>
      </c>
      <c r="H8" s="2">
        <v>0</v>
      </c>
      <c r="I8" s="3">
        <f t="shared" si="2"/>
        <v>0</v>
      </c>
      <c r="J8" s="2">
        <f t="shared" si="8"/>
        <v>6.0438420453483695E-2</v>
      </c>
      <c r="K8" s="2">
        <v>0.3</v>
      </c>
      <c r="L8" s="3">
        <f t="shared" si="3"/>
        <v>8400000</v>
      </c>
      <c r="M8" s="2">
        <f t="shared" si="4"/>
        <v>4.317030032391693E-2</v>
      </c>
      <c r="N8" s="2">
        <v>0.5</v>
      </c>
      <c r="O8" s="3">
        <f t="shared" si="5"/>
        <v>14000000</v>
      </c>
    </row>
    <row r="9" spans="1:15" x14ac:dyDescent="0.3">
      <c r="A9">
        <v>5</v>
      </c>
      <c r="B9" s="1">
        <v>9.9598062520620285</v>
      </c>
      <c r="C9" s="2">
        <f t="shared" si="6"/>
        <v>7.0139480648324148E-2</v>
      </c>
      <c r="D9" s="2">
        <f t="shared" si="7"/>
        <v>7.0139480648324148E-2</v>
      </c>
      <c r="E9" s="2">
        <v>0</v>
      </c>
      <c r="F9" s="3">
        <f t="shared" si="0"/>
        <v>0</v>
      </c>
      <c r="G9" s="2">
        <f t="shared" si="1"/>
        <v>7.0139480648324148E-2</v>
      </c>
      <c r="H9" s="2">
        <v>0</v>
      </c>
      <c r="I9" s="3">
        <f t="shared" si="2"/>
        <v>0</v>
      </c>
      <c r="J9" s="2">
        <f t="shared" si="8"/>
        <v>5.6111584518659323E-2</v>
      </c>
      <c r="K9" s="2">
        <v>0.2</v>
      </c>
      <c r="L9" s="3">
        <f t="shared" si="3"/>
        <v>5600000</v>
      </c>
      <c r="M9" s="2">
        <f t="shared" si="4"/>
        <v>3.5069740324162074E-2</v>
      </c>
      <c r="N9" s="2">
        <v>0.5</v>
      </c>
      <c r="O9" s="3">
        <f t="shared" si="5"/>
        <v>14000000</v>
      </c>
    </row>
    <row r="10" spans="1:15" x14ac:dyDescent="0.3">
      <c r="A10">
        <v>4</v>
      </c>
      <c r="B10" s="1">
        <v>7.8356932156487984</v>
      </c>
      <c r="C10" s="2">
        <f t="shared" si="6"/>
        <v>5.518093813837182E-2</v>
      </c>
      <c r="D10" s="2">
        <f t="shared" si="7"/>
        <v>5.518093813837182E-2</v>
      </c>
      <c r="E10" s="2">
        <v>0</v>
      </c>
      <c r="F10" s="3">
        <f t="shared" si="0"/>
        <v>0</v>
      </c>
      <c r="G10" s="2">
        <f t="shared" si="1"/>
        <v>5.518093813837182E-2</v>
      </c>
      <c r="H10" s="2">
        <v>0</v>
      </c>
      <c r="I10" s="3">
        <f t="shared" si="2"/>
        <v>0</v>
      </c>
      <c r="J10" s="2">
        <f t="shared" si="8"/>
        <v>4.6903797417616043E-2</v>
      </c>
      <c r="K10" s="2">
        <v>0.15</v>
      </c>
      <c r="L10" s="3">
        <f t="shared" si="3"/>
        <v>4200000</v>
      </c>
      <c r="M10" s="2">
        <f t="shared" si="4"/>
        <v>2.759046906918591E-2</v>
      </c>
      <c r="N10" s="2">
        <v>0.5</v>
      </c>
      <c r="O10" s="3">
        <f t="shared" si="5"/>
        <v>14000000</v>
      </c>
    </row>
    <row r="11" spans="1:15" x14ac:dyDescent="0.3">
      <c r="A11">
        <v>3</v>
      </c>
      <c r="B11" s="1">
        <v>5.7300000642422404</v>
      </c>
      <c r="C11" s="2">
        <f t="shared" si="6"/>
        <v>4.0352113128466482E-2</v>
      </c>
      <c r="D11" s="2">
        <f t="shared" si="7"/>
        <v>4.0352113128466482E-2</v>
      </c>
      <c r="E11" s="2">
        <v>0</v>
      </c>
      <c r="F11" s="3">
        <f t="shared" si="0"/>
        <v>0</v>
      </c>
      <c r="G11" s="2">
        <f t="shared" si="1"/>
        <v>4.0352113128466482E-2</v>
      </c>
      <c r="H11" s="2">
        <v>0</v>
      </c>
      <c r="I11" s="3">
        <f t="shared" si="2"/>
        <v>0</v>
      </c>
      <c r="J11" s="2">
        <f t="shared" si="8"/>
        <v>3.6316901815619834E-2</v>
      </c>
      <c r="K11" s="2">
        <v>0.1</v>
      </c>
      <c r="L11" s="3">
        <f t="shared" si="3"/>
        <v>2800000</v>
      </c>
      <c r="M11" s="2">
        <f t="shared" si="4"/>
        <v>2.0176056564233241E-2</v>
      </c>
      <c r="N11" s="2">
        <v>0.5</v>
      </c>
      <c r="O11" s="3">
        <f t="shared" si="5"/>
        <v>14000000</v>
      </c>
    </row>
    <row r="12" spans="1:15" x14ac:dyDescent="0.3">
      <c r="A12">
        <v>2</v>
      </c>
      <c r="B12" s="1">
        <v>3.5036882950475281</v>
      </c>
      <c r="C12" s="2">
        <f t="shared" si="6"/>
        <v>2.467386123272907E-2</v>
      </c>
      <c r="D12" s="2">
        <f t="shared" si="7"/>
        <v>2.467386123272907E-2</v>
      </c>
      <c r="E12" s="2">
        <v>0</v>
      </c>
      <c r="F12" s="3">
        <f t="shared" si="0"/>
        <v>0</v>
      </c>
      <c r="G12" s="2">
        <f t="shared" si="1"/>
        <v>2.467386123272907E-2</v>
      </c>
      <c r="H12" s="2">
        <v>0</v>
      </c>
      <c r="I12" s="3">
        <f t="shared" si="2"/>
        <v>0</v>
      </c>
      <c r="J12" s="2">
        <f t="shared" si="8"/>
        <v>2.2206475109456163E-2</v>
      </c>
      <c r="K12" s="2">
        <v>0.1</v>
      </c>
      <c r="L12" s="3">
        <f t="shared" si="3"/>
        <v>2800000</v>
      </c>
      <c r="M12" s="2">
        <f t="shared" si="4"/>
        <v>1.2336930616364535E-2</v>
      </c>
      <c r="N12" s="2">
        <v>0.5</v>
      </c>
      <c r="O12" s="3">
        <f t="shared" si="5"/>
        <v>14000000</v>
      </c>
    </row>
    <row r="13" spans="1:15" x14ac:dyDescent="0.3">
      <c r="A13">
        <v>1</v>
      </c>
      <c r="B13" s="1">
        <v>1.0346269831797676</v>
      </c>
      <c r="C13" s="2">
        <f t="shared" si="6"/>
        <v>7.286105515350476E-3</v>
      </c>
      <c r="D13" s="2">
        <f t="shared" si="7"/>
        <v>7.286105515350476E-3</v>
      </c>
      <c r="E13" s="2">
        <v>0</v>
      </c>
      <c r="F13" s="3">
        <f t="shared" si="0"/>
        <v>0</v>
      </c>
      <c r="G13" s="2">
        <f t="shared" si="1"/>
        <v>7.286105515350476E-3</v>
      </c>
      <c r="H13" s="2">
        <v>0</v>
      </c>
      <c r="I13" s="3">
        <f t="shared" si="2"/>
        <v>0</v>
      </c>
      <c r="J13" s="2">
        <f t="shared" si="8"/>
        <v>6.5574949638154282E-3</v>
      </c>
      <c r="K13" s="2">
        <v>0.1</v>
      </c>
      <c r="L13" s="3">
        <f t="shared" si="3"/>
        <v>2800000</v>
      </c>
      <c r="M13" s="2">
        <f t="shared" si="4"/>
        <v>3.643052757675238E-3</v>
      </c>
      <c r="N13" s="2">
        <v>0.5</v>
      </c>
      <c r="O13" s="3">
        <f t="shared" si="5"/>
        <v>14000000</v>
      </c>
    </row>
    <row r="14" spans="1:15" x14ac:dyDescent="0.3">
      <c r="A14" t="s">
        <v>12</v>
      </c>
      <c r="B14" s="1">
        <v>142</v>
      </c>
      <c r="C14" s="2">
        <f>SUM(C4:C13)</f>
        <v>0.99999999999999989</v>
      </c>
      <c r="D14" s="2">
        <f>SUM(D4:D13)</f>
        <v>0.49911934650224382</v>
      </c>
      <c r="E14" s="2" t="s">
        <v>13</v>
      </c>
      <c r="F14" s="43">
        <f>SUM(F4:F13)</f>
        <v>60200000</v>
      </c>
      <c r="G14" s="2">
        <f>SUM(G4:G13)</f>
        <v>0.501303582824844</v>
      </c>
      <c r="H14" s="2" t="s">
        <v>13</v>
      </c>
      <c r="I14" s="43">
        <f>SUM(I4:I13)</f>
        <v>72800000</v>
      </c>
      <c r="J14" s="2">
        <f>SUM(J4:J13)</f>
        <v>0.49739299911042056</v>
      </c>
      <c r="K14" s="2" t="s">
        <v>13</v>
      </c>
      <c r="L14" s="43">
        <f>SUM(L4:L13)</f>
        <v>92400000</v>
      </c>
      <c r="M14" s="2">
        <f>SUM(M4:M13)</f>
        <v>0.49999999999999994</v>
      </c>
      <c r="N14" s="2" t="s">
        <v>13</v>
      </c>
      <c r="O14" s="43">
        <f>SUM(O4:O13)</f>
        <v>140000000</v>
      </c>
    </row>
    <row r="18" spans="2:3" x14ac:dyDescent="0.3">
      <c r="B18" t="s">
        <v>14</v>
      </c>
      <c r="C18">
        <f>280000000/10</f>
        <v>28000000</v>
      </c>
    </row>
  </sheetData>
  <mergeCells count="4">
    <mergeCell ref="C2:F2"/>
    <mergeCell ref="G2:I2"/>
    <mergeCell ref="J2:L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C8AB-87DE-477D-8FB1-A99F77BBF369}">
  <dimension ref="A1:Z46"/>
  <sheetViews>
    <sheetView workbookViewId="0">
      <selection activeCell="L16" sqref="L16"/>
    </sheetView>
  </sheetViews>
  <sheetFormatPr defaultRowHeight="14.4" x14ac:dyDescent="0.3"/>
  <cols>
    <col min="15" max="15" width="21.88671875" customWidth="1"/>
    <col min="16" max="16" width="16.5546875" customWidth="1"/>
    <col min="17" max="17" width="12" bestFit="1" customWidth="1"/>
    <col min="18" max="18" width="10.33203125" bestFit="1" customWidth="1"/>
  </cols>
  <sheetData>
    <row r="1" spans="1:18" x14ac:dyDescent="0.3">
      <c r="A1" s="100" t="s">
        <v>15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8"/>
      <c r="M1" s="18"/>
      <c r="N1" s="100" t="s">
        <v>16</v>
      </c>
      <c r="O1" s="100"/>
      <c r="P1" s="100"/>
      <c r="Q1" s="100"/>
    </row>
    <row r="2" spans="1:18" x14ac:dyDescent="0.3">
      <c r="A2" s="18"/>
      <c r="B2" s="18">
        <v>10</v>
      </c>
      <c r="C2" s="18">
        <v>9</v>
      </c>
      <c r="D2" s="18">
        <v>8</v>
      </c>
      <c r="E2" s="18">
        <v>7</v>
      </c>
      <c r="F2" s="18">
        <v>6</v>
      </c>
      <c r="G2" s="18">
        <v>5</v>
      </c>
      <c r="H2" s="18">
        <v>4</v>
      </c>
      <c r="I2" s="18">
        <v>3</v>
      </c>
      <c r="J2" s="18">
        <v>2</v>
      </c>
      <c r="K2" s="18">
        <v>1</v>
      </c>
      <c r="L2" s="18"/>
      <c r="M2" s="18"/>
      <c r="N2" s="18" t="str">
        <f>[1]Sheet1!C1</f>
        <v>FEGEMPG</v>
      </c>
      <c r="O2" s="18" t="str">
        <f>[2]Sheet1!C1</f>
        <v>BESTMILE</v>
      </c>
      <c r="P2" s="18" t="s">
        <v>17</v>
      </c>
      <c r="Q2" s="18" t="str">
        <f>[3]Sheet1!C1</f>
        <v>GSYRGAL</v>
      </c>
      <c r="R2" t="s">
        <v>18</v>
      </c>
    </row>
    <row r="3" spans="1:18" x14ac:dyDescent="0.3">
      <c r="A3">
        <v>1</v>
      </c>
      <c r="B3" s="12">
        <v>0.99999999999999967</v>
      </c>
      <c r="C3" s="12">
        <v>0.99999999999999967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N3">
        <f>[1]Sheet1!C2</f>
        <v>23.46904361383498</v>
      </c>
      <c r="O3">
        <f>[2]Sheet1!C2</f>
        <v>1249.7666266239801</v>
      </c>
      <c r="P3">
        <f>O3/N3</f>
        <v>53.251706681700647</v>
      </c>
      <c r="Q3">
        <f>[3]Sheet1!C2</f>
        <v>53.375513648853158</v>
      </c>
      <c r="R3">
        <f>[4]Sheet1!B2</f>
        <v>948.734079947498</v>
      </c>
    </row>
    <row r="4" spans="1:18" x14ac:dyDescent="0.3">
      <c r="A4">
        <v>2</v>
      </c>
      <c r="B4" s="12">
        <f>B3-(($B$3-$B$12)/9)</f>
        <v>0.92341666666666633</v>
      </c>
      <c r="C4" s="12">
        <f>C3-(($C$3-$C$12)/9)</f>
        <v>0.92341666666666633</v>
      </c>
      <c r="D4" s="12">
        <f>D3-(($D$3-$D$12)/9)</f>
        <v>0.92341666666666666</v>
      </c>
      <c r="E4" s="12">
        <f>E3-(($E$3-$E$12)/9)</f>
        <v>0.92341666666666666</v>
      </c>
      <c r="F4" s="12">
        <f>F3-(($F$3-$F$12)/9)</f>
        <v>0.92341666666666666</v>
      </c>
      <c r="G4" s="12">
        <f>G3-(($G$3-$G$12)/9)</f>
        <v>0.92341666666666666</v>
      </c>
      <c r="H4" s="12">
        <f>H3-(($H$3-$H$12)/9)</f>
        <v>0.92341666666666666</v>
      </c>
      <c r="I4" s="12">
        <f>I3-(($I$3-$I$12)/9)</f>
        <v>0.92341666666666666</v>
      </c>
      <c r="J4" s="12">
        <f>J3-(($J$3-$J$12)/9)</f>
        <v>0.92341666666666666</v>
      </c>
      <c r="K4" s="12">
        <f>K3-(($K$3-$K$12)/9)</f>
        <v>0.92341666666666666</v>
      </c>
      <c r="N4">
        <f>[1]Sheet1!C3</f>
        <v>23.306814918147129</v>
      </c>
      <c r="O4">
        <f>[2]Sheet1!C3</f>
        <v>3396.987483644421</v>
      </c>
      <c r="P4">
        <f t="shared" ref="P4:P12" si="0">O4/N4</f>
        <v>145.75082419346205</v>
      </c>
      <c r="Q4">
        <f>[3]Sheet1!C3</f>
        <v>145.86770153677861</v>
      </c>
      <c r="R4">
        <f>[4]Sheet1!B3</f>
        <v>3212.8182862665021</v>
      </c>
    </row>
    <row r="5" spans="1:18" x14ac:dyDescent="0.3">
      <c r="A5">
        <v>3</v>
      </c>
      <c r="B5" s="12">
        <f t="shared" ref="B5:B11" si="1">B4-(($B$3-$B$12)/9)</f>
        <v>0.84683333333333299</v>
      </c>
      <c r="C5" s="12">
        <f t="shared" ref="C5:C11" si="2">C4-(($C$3-$C$12)/9)</f>
        <v>0.84683333333333299</v>
      </c>
      <c r="D5" s="12">
        <f t="shared" ref="D5:D11" si="3">D4-(($D$3-$D$12)/9)</f>
        <v>0.84683333333333333</v>
      </c>
      <c r="E5" s="12">
        <f t="shared" ref="E5:E11" si="4">E4-(($E$3-$E$12)/9)</f>
        <v>0.84683333333333333</v>
      </c>
      <c r="F5" s="12">
        <f t="shared" ref="F5:F11" si="5">F4-(($F$3-$F$12)/9)</f>
        <v>0.84683333333333333</v>
      </c>
      <c r="G5" s="12">
        <f t="shared" ref="G5:G11" si="6">G4-(($G$3-$G$12)/9)</f>
        <v>0.84683333333333333</v>
      </c>
      <c r="H5" s="12">
        <f t="shared" ref="H5:H11" si="7">H4-(($H$3-$H$12)/9)</f>
        <v>0.84683333333333333</v>
      </c>
      <c r="I5" s="12">
        <f t="shared" ref="I5:I11" si="8">I4-(($I$3-$I$12)/9)</f>
        <v>0.84683333333333333</v>
      </c>
      <c r="J5" s="12">
        <f t="shared" ref="J5:J11" si="9">J4-(($J$3-$J$12)/9)</f>
        <v>0.84683333333333333</v>
      </c>
      <c r="K5" s="12">
        <f t="shared" ref="K5:K11" si="10">K4-(($K$3-$K$12)/9)</f>
        <v>0.84683333333333333</v>
      </c>
      <c r="N5">
        <f>[1]Sheet1!C4</f>
        <v>23.003569523653219</v>
      </c>
      <c r="O5">
        <f>[2]Sheet1!C4</f>
        <v>5170.908917494894</v>
      </c>
      <c r="P5">
        <f t="shared" si="0"/>
        <v>224.78724061402522</v>
      </c>
      <c r="Q5">
        <f>[3]Sheet1!C4</f>
        <v>224.8451904288699</v>
      </c>
      <c r="R5">
        <f>[4]Sheet1!B4</f>
        <v>5254.5156172400439</v>
      </c>
    </row>
    <row r="6" spans="1:18" x14ac:dyDescent="0.3">
      <c r="A6">
        <v>4</v>
      </c>
      <c r="B6" s="12">
        <f t="shared" si="1"/>
        <v>0.77024999999999966</v>
      </c>
      <c r="C6" s="12">
        <f t="shared" si="2"/>
        <v>0.77024999999999966</v>
      </c>
      <c r="D6" s="12">
        <f t="shared" si="3"/>
        <v>0.77024999999999999</v>
      </c>
      <c r="E6" s="12">
        <f t="shared" si="4"/>
        <v>0.77024999999999999</v>
      </c>
      <c r="F6" s="12">
        <f t="shared" si="5"/>
        <v>0.77024999999999999</v>
      </c>
      <c r="G6" s="12">
        <f t="shared" si="6"/>
        <v>0.77024999999999999</v>
      </c>
      <c r="H6" s="12">
        <f t="shared" si="7"/>
        <v>0.77024999999999999</v>
      </c>
      <c r="I6" s="12">
        <f t="shared" si="8"/>
        <v>0.77024999999999999</v>
      </c>
      <c r="J6" s="12">
        <f t="shared" si="9"/>
        <v>0.77024999999999999</v>
      </c>
      <c r="K6" s="12">
        <f t="shared" si="10"/>
        <v>0.77024999999999999</v>
      </c>
      <c r="N6">
        <f>[1]Sheet1!C5</f>
        <v>22.640257662167151</v>
      </c>
      <c r="O6">
        <f>[2]Sheet1!C5</f>
        <v>6792.3395733958232</v>
      </c>
      <c r="P6">
        <f t="shared" si="0"/>
        <v>300.01158444173171</v>
      </c>
      <c r="Q6">
        <f>[3]Sheet1!C5</f>
        <v>300.05233857244718</v>
      </c>
      <c r="R6">
        <f>[4]Sheet1!B5</f>
        <v>7185.187816049619</v>
      </c>
    </row>
    <row r="7" spans="1:18" x14ac:dyDescent="0.3">
      <c r="A7">
        <v>5</v>
      </c>
      <c r="B7" s="12">
        <f t="shared" si="1"/>
        <v>0.69366666666666632</v>
      </c>
      <c r="C7" s="12">
        <f t="shared" si="2"/>
        <v>0.69366666666666632</v>
      </c>
      <c r="D7" s="12">
        <f t="shared" si="3"/>
        <v>0.69366666666666665</v>
      </c>
      <c r="E7" s="12">
        <f t="shared" si="4"/>
        <v>0.69366666666666665</v>
      </c>
      <c r="F7" s="12">
        <f t="shared" si="5"/>
        <v>0.69366666666666665</v>
      </c>
      <c r="G7" s="12">
        <f t="shared" si="6"/>
        <v>0.69366666666666665</v>
      </c>
      <c r="H7" s="12">
        <f t="shared" si="7"/>
        <v>0.69366666666666665</v>
      </c>
      <c r="I7" s="12">
        <f t="shared" si="8"/>
        <v>0.69366666666666665</v>
      </c>
      <c r="J7" s="12">
        <f t="shared" si="9"/>
        <v>0.69366666666666665</v>
      </c>
      <c r="K7" s="12">
        <f t="shared" si="10"/>
        <v>0.69366666666666665</v>
      </c>
      <c r="N7">
        <f>[1]Sheet1!C6</f>
        <v>22.256800557994499</v>
      </c>
      <c r="O7">
        <f>[2]Sheet1!C6</f>
        <v>8380.1516858629893</v>
      </c>
      <c r="P7">
        <f t="shared" si="0"/>
        <v>376.52094981157984</v>
      </c>
      <c r="Q7">
        <f>[3]Sheet1!C6</f>
        <v>376.63785071467282</v>
      </c>
      <c r="R7">
        <f>[4]Sheet1!B6</f>
        <v>9132.9607429768439</v>
      </c>
    </row>
    <row r="8" spans="1:18" x14ac:dyDescent="0.3">
      <c r="A8">
        <v>6</v>
      </c>
      <c r="B8" s="12">
        <f t="shared" si="1"/>
        <v>0.61708333333333298</v>
      </c>
      <c r="C8" s="12">
        <f t="shared" si="2"/>
        <v>0.61708333333333298</v>
      </c>
      <c r="D8" s="12">
        <f t="shared" si="3"/>
        <v>0.61708333333333332</v>
      </c>
      <c r="E8" s="12">
        <f t="shared" si="4"/>
        <v>0.61708333333333332</v>
      </c>
      <c r="F8" s="12">
        <f t="shared" si="5"/>
        <v>0.61708333333333332</v>
      </c>
      <c r="G8" s="12">
        <f t="shared" si="6"/>
        <v>0.61708333333333332</v>
      </c>
      <c r="H8" s="12">
        <f t="shared" si="7"/>
        <v>0.61708333333333332</v>
      </c>
      <c r="I8" s="12">
        <f t="shared" si="8"/>
        <v>0.61708333333333332</v>
      </c>
      <c r="J8" s="12">
        <f t="shared" si="9"/>
        <v>0.61708333333333332</v>
      </c>
      <c r="K8" s="12">
        <f t="shared" si="10"/>
        <v>0.61708333333333332</v>
      </c>
      <c r="N8">
        <f>[1]Sheet1!C7</f>
        <v>21.75882159855572</v>
      </c>
      <c r="O8">
        <f>[2]Sheet1!C7</f>
        <v>10007.694498827799</v>
      </c>
      <c r="P8">
        <f t="shared" si="0"/>
        <v>459.93733867885925</v>
      </c>
      <c r="Q8">
        <f>[3]Sheet1!C7</f>
        <v>460.09478064333217</v>
      </c>
      <c r="R8">
        <f>[4]Sheet1!B7</f>
        <v>11242.980833781599</v>
      </c>
    </row>
    <row r="9" spans="1:18" x14ac:dyDescent="0.3">
      <c r="A9">
        <v>7</v>
      </c>
      <c r="B9" s="12">
        <f t="shared" si="1"/>
        <v>0.54049999999999965</v>
      </c>
      <c r="C9" s="12">
        <f t="shared" si="2"/>
        <v>0.54049999999999965</v>
      </c>
      <c r="D9" s="12">
        <f t="shared" si="3"/>
        <v>0.54049999999999998</v>
      </c>
      <c r="E9" s="12">
        <f t="shared" si="4"/>
        <v>0.54049999999999998</v>
      </c>
      <c r="F9" s="12">
        <f t="shared" si="5"/>
        <v>0.54049999999999998</v>
      </c>
      <c r="G9" s="12">
        <f t="shared" si="6"/>
        <v>0.54049999999999998</v>
      </c>
      <c r="H9" s="12">
        <f t="shared" si="7"/>
        <v>0.54049999999999998</v>
      </c>
      <c r="I9" s="12">
        <f t="shared" si="8"/>
        <v>0.54049999999999998</v>
      </c>
      <c r="J9" s="12">
        <f t="shared" si="9"/>
        <v>0.54049999999999998</v>
      </c>
      <c r="K9" s="12">
        <f t="shared" si="10"/>
        <v>0.54049999999999998</v>
      </c>
      <c r="N9">
        <f>[1]Sheet1!C8</f>
        <v>21.201329339843269</v>
      </c>
      <c r="O9">
        <f>[2]Sheet1!C8</f>
        <v>11819.162693827549</v>
      </c>
      <c r="P9">
        <f t="shared" si="0"/>
        <v>557.47271807225854</v>
      </c>
      <c r="Q9">
        <f>[3]Sheet1!C8</f>
        <v>557.70808215710349</v>
      </c>
      <c r="R9">
        <f>[4]Sheet1!B8</f>
        <v>13699.115224845271</v>
      </c>
    </row>
    <row r="10" spans="1:18" x14ac:dyDescent="0.3">
      <c r="A10">
        <v>8</v>
      </c>
      <c r="B10" s="12">
        <f t="shared" si="1"/>
        <v>0.46391666666666637</v>
      </c>
      <c r="C10" s="12">
        <f t="shared" si="2"/>
        <v>0.46391666666666637</v>
      </c>
      <c r="D10" s="12">
        <f t="shared" si="3"/>
        <v>0.46391666666666664</v>
      </c>
      <c r="E10" s="12">
        <f t="shared" si="4"/>
        <v>0.46391666666666664</v>
      </c>
      <c r="F10" s="12">
        <f t="shared" si="5"/>
        <v>0.46391666666666664</v>
      </c>
      <c r="G10" s="12">
        <f t="shared" si="6"/>
        <v>0.46391666666666664</v>
      </c>
      <c r="H10" s="12">
        <f t="shared" si="7"/>
        <v>0.46391666666666664</v>
      </c>
      <c r="I10" s="12">
        <f t="shared" si="8"/>
        <v>0.46391666666666664</v>
      </c>
      <c r="J10" s="12">
        <f t="shared" si="9"/>
        <v>0.46391666666666664</v>
      </c>
      <c r="K10" s="12">
        <f t="shared" si="10"/>
        <v>0.46391666666666664</v>
      </c>
      <c r="N10">
        <f>[1]Sheet1!C9</f>
        <v>20.567143970787349</v>
      </c>
      <c r="O10">
        <f>[2]Sheet1!C9</f>
        <v>14045.54607745975</v>
      </c>
      <c r="P10">
        <f t="shared" si="0"/>
        <v>682.91183731729677</v>
      </c>
      <c r="Q10">
        <f>[3]Sheet1!C9</f>
        <v>683.28168121620035</v>
      </c>
      <c r="R10">
        <f>[4]Sheet1!B9</f>
        <v>16842.298143910339</v>
      </c>
    </row>
    <row r="11" spans="1:18" x14ac:dyDescent="0.3">
      <c r="A11">
        <v>9</v>
      </c>
      <c r="B11" s="12">
        <f t="shared" si="1"/>
        <v>0.38733333333333309</v>
      </c>
      <c r="C11" s="12">
        <f t="shared" si="2"/>
        <v>0.38733333333333309</v>
      </c>
      <c r="D11" s="12">
        <f t="shared" si="3"/>
        <v>0.38733333333333331</v>
      </c>
      <c r="E11" s="12">
        <f t="shared" si="4"/>
        <v>0.38733333333333331</v>
      </c>
      <c r="F11" s="12">
        <f t="shared" si="5"/>
        <v>0.38733333333333331</v>
      </c>
      <c r="G11" s="12">
        <f t="shared" si="6"/>
        <v>0.38733333333333331</v>
      </c>
      <c r="H11" s="12">
        <f t="shared" si="7"/>
        <v>0.38733333333333331</v>
      </c>
      <c r="I11" s="12">
        <f t="shared" si="8"/>
        <v>0.38733333333333331</v>
      </c>
      <c r="J11" s="12">
        <f t="shared" si="9"/>
        <v>0.38733333333333331</v>
      </c>
      <c r="K11" s="12">
        <f t="shared" si="10"/>
        <v>0.38733333333333331</v>
      </c>
      <c r="N11">
        <f>[1]Sheet1!C10</f>
        <v>19.82907315472039</v>
      </c>
      <c r="O11">
        <f>[2]Sheet1!C10</f>
        <v>17420.973935629281</v>
      </c>
      <c r="P11">
        <f t="shared" si="0"/>
        <v>878.55714685696989</v>
      </c>
      <c r="Q11">
        <f>[3]Sheet1!C10</f>
        <v>879.49991527370355</v>
      </c>
      <c r="R11">
        <f>[4]Sheet1!B10</f>
        <v>21738.74747320712</v>
      </c>
    </row>
    <row r="12" spans="1:18" x14ac:dyDescent="0.3">
      <c r="A12">
        <v>10</v>
      </c>
      <c r="B12" s="12">
        <f>input_variables!A26</f>
        <v>0.31075000000000003</v>
      </c>
      <c r="C12" s="12">
        <f>input_variables!B26</f>
        <v>0.31075000000000003</v>
      </c>
      <c r="D12" s="12">
        <f>input_variables!C26</f>
        <v>0.31075000000000003</v>
      </c>
      <c r="E12" s="12">
        <f>input_variables!D26</f>
        <v>0.31075000000000003</v>
      </c>
      <c r="F12" s="12">
        <f>input_variables!E26</f>
        <v>0.31075000000000003</v>
      </c>
      <c r="G12" s="12">
        <f>input_variables!F26</f>
        <v>0.31075000000000003</v>
      </c>
      <c r="H12" s="12">
        <f>input_variables!G26</f>
        <v>0.31075000000000003</v>
      </c>
      <c r="I12" s="12">
        <f>input_variables!H26</f>
        <v>0.31075000000000003</v>
      </c>
      <c r="J12" s="12">
        <f>input_variables!I26</f>
        <v>0.31075000000000003</v>
      </c>
      <c r="K12" s="12">
        <f>input_variables!J26</f>
        <v>0.31075000000000003</v>
      </c>
      <c r="N12">
        <f>[1]Sheet1!C11</f>
        <v>18.491404422927008</v>
      </c>
      <c r="O12">
        <f>[2]Sheet1!C11</f>
        <v>30348.047945820159</v>
      </c>
      <c r="P12">
        <f t="shared" si="0"/>
        <v>1641.1975668106857</v>
      </c>
      <c r="Q12">
        <f>[3]Sheet1!C11</f>
        <v>1654.2834917512409</v>
      </c>
      <c r="R12">
        <f>[4]Sheet1!B11</f>
        <v>29145.557676900538</v>
      </c>
    </row>
    <row r="15" spans="1:18" x14ac:dyDescent="0.3">
      <c r="O15" s="6" t="s">
        <v>19</v>
      </c>
      <c r="P15" s="6">
        <v>7.5895567698846299E-3</v>
      </c>
      <c r="Q15" s="6" t="s">
        <v>5</v>
      </c>
      <c r="R15" s="6"/>
    </row>
    <row r="16" spans="1:18" x14ac:dyDescent="0.3">
      <c r="A16">
        <v>1</v>
      </c>
      <c r="B16" s="12">
        <v>1</v>
      </c>
      <c r="O16" s="6" t="s">
        <v>20</v>
      </c>
      <c r="P16" s="6">
        <f>1/1000000</f>
        <v>9.9999999999999995E-7</v>
      </c>
      <c r="Q16" s="6" t="s">
        <v>21</v>
      </c>
      <c r="R16" s="6"/>
    </row>
    <row r="17" spans="1:26" x14ac:dyDescent="0.3">
      <c r="A17">
        <f>A16-0.1</f>
        <v>0.9</v>
      </c>
      <c r="B17" s="12">
        <f>1/(1+(A17/(1-A17))^(-2))</f>
        <v>0.98780487804878048</v>
      </c>
      <c r="C17" s="12"/>
      <c r="D17" s="12"/>
      <c r="E17" s="12"/>
      <c r="F17" s="12"/>
      <c r="G17" s="12"/>
      <c r="H17" s="12"/>
      <c r="I17" s="12"/>
      <c r="J17" s="12"/>
      <c r="K17" s="12"/>
      <c r="O17" s="6" t="s">
        <v>22</v>
      </c>
      <c r="P17" s="6">
        <v>0.90700000000000003</v>
      </c>
      <c r="Q17" s="6" t="s">
        <v>23</v>
      </c>
      <c r="R17" s="6"/>
      <c r="S17" s="18"/>
      <c r="T17" s="18"/>
      <c r="U17" s="18"/>
      <c r="V17" s="18"/>
      <c r="W17" s="18"/>
      <c r="X17" s="18"/>
      <c r="Y17" s="18"/>
      <c r="Z17" s="18"/>
    </row>
    <row r="18" spans="1:26" x14ac:dyDescent="0.3">
      <c r="A18">
        <f t="shared" ref="A18:A25" si="11">A17-0.1</f>
        <v>0.8</v>
      </c>
      <c r="B18" s="12">
        <f t="shared" ref="B18:B25" si="12">1/(1+(A18/(1-A18))^(-2))</f>
        <v>0.94117647058823528</v>
      </c>
      <c r="O18" s="6"/>
      <c r="P18" s="6"/>
      <c r="Q18" s="6"/>
      <c r="R18" s="6"/>
      <c r="S18" s="12"/>
      <c r="T18" s="12"/>
      <c r="U18" s="12"/>
      <c r="V18" s="12"/>
      <c r="W18" s="12"/>
      <c r="X18" s="12"/>
      <c r="Y18" s="12"/>
      <c r="Z18" s="12"/>
    </row>
    <row r="19" spans="1:26" x14ac:dyDescent="0.3">
      <c r="A19">
        <f t="shared" si="11"/>
        <v>0.70000000000000007</v>
      </c>
      <c r="B19" s="12">
        <f t="shared" si="12"/>
        <v>0.84482758620689657</v>
      </c>
      <c r="N19" s="44"/>
      <c r="O19" s="6">
        <v>11.3</v>
      </c>
      <c r="P19" s="6" t="s">
        <v>24</v>
      </c>
      <c r="Q19" s="6">
        <f>O19*P16*P17</f>
        <v>1.02491E-5</v>
      </c>
      <c r="R19" s="6" t="s">
        <v>25</v>
      </c>
      <c r="S19" s="12"/>
      <c r="T19" s="12"/>
      <c r="U19" s="12"/>
      <c r="V19" s="12"/>
      <c r="W19" s="12"/>
      <c r="X19" s="12"/>
      <c r="Y19" s="12"/>
      <c r="Z19" s="12"/>
    </row>
    <row r="20" spans="1:26" x14ac:dyDescent="0.3">
      <c r="A20">
        <f t="shared" si="11"/>
        <v>0.60000000000000009</v>
      </c>
      <c r="B20" s="12">
        <f t="shared" si="12"/>
        <v>0.6923076923076924</v>
      </c>
      <c r="O20" s="6">
        <v>1</v>
      </c>
      <c r="P20" s="6" t="s">
        <v>26</v>
      </c>
      <c r="Q20" s="6">
        <f>O20*P15</f>
        <v>7.5895567698846299E-3</v>
      </c>
      <c r="R20" s="6" t="s">
        <v>27</v>
      </c>
      <c r="S20" s="12"/>
      <c r="T20" s="12"/>
      <c r="U20" s="12"/>
      <c r="V20" s="12"/>
      <c r="W20" s="12"/>
      <c r="X20" s="12"/>
      <c r="Y20" s="12"/>
      <c r="Z20" s="12"/>
    </row>
    <row r="21" spans="1:26" x14ac:dyDescent="0.3">
      <c r="A21">
        <f t="shared" si="11"/>
        <v>0.50000000000000011</v>
      </c>
      <c r="B21" s="12">
        <f t="shared" si="12"/>
        <v>0.50000000000000022</v>
      </c>
      <c r="O21" s="6"/>
      <c r="P21" s="6"/>
      <c r="Q21" s="6"/>
      <c r="R21" s="6"/>
      <c r="S21" s="12"/>
      <c r="T21" s="12"/>
      <c r="U21" s="12"/>
      <c r="V21" s="12"/>
      <c r="W21" s="12"/>
      <c r="X21" s="12"/>
      <c r="Y21" s="12"/>
      <c r="Z21" s="12"/>
    </row>
    <row r="22" spans="1:26" x14ac:dyDescent="0.3">
      <c r="A22">
        <f t="shared" si="11"/>
        <v>0.40000000000000013</v>
      </c>
      <c r="B22" s="12">
        <f t="shared" si="12"/>
        <v>0.30769230769230793</v>
      </c>
      <c r="O22" s="6" t="s">
        <v>28</v>
      </c>
      <c r="P22" s="103">
        <f>Q19/Q20</f>
        <v>1.3504214160000015E-3</v>
      </c>
      <c r="Q22" s="52">
        <f>P22*1000</f>
        <v>1.3504214160000014</v>
      </c>
      <c r="R22" s="6"/>
      <c r="S22" s="12"/>
      <c r="T22" s="12"/>
      <c r="U22" s="12"/>
      <c r="V22" s="12"/>
      <c r="W22" s="12"/>
      <c r="X22" s="12"/>
      <c r="Y22" s="12"/>
      <c r="Z22" s="12"/>
    </row>
    <row r="23" spans="1:26" x14ac:dyDescent="0.3">
      <c r="A23">
        <f t="shared" si="11"/>
        <v>0.30000000000000016</v>
      </c>
      <c r="B23" s="12">
        <f t="shared" si="12"/>
        <v>0.15517241379310365</v>
      </c>
      <c r="S23" s="12"/>
      <c r="T23" s="12"/>
      <c r="U23" s="12"/>
      <c r="V23" s="12"/>
      <c r="W23" s="12"/>
      <c r="X23" s="12"/>
      <c r="Y23" s="12"/>
      <c r="Z23" s="12"/>
    </row>
    <row r="24" spans="1:26" x14ac:dyDescent="0.3">
      <c r="A24">
        <f t="shared" si="11"/>
        <v>0.20000000000000015</v>
      </c>
      <c r="B24" s="12">
        <f t="shared" si="12"/>
        <v>5.8823529411764802E-2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3">
      <c r="A25">
        <f t="shared" si="11"/>
        <v>0.10000000000000014</v>
      </c>
      <c r="B25" s="12">
        <f t="shared" si="12"/>
        <v>1.2195121951219551E-2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3">
      <c r="A26">
        <v>0</v>
      </c>
      <c r="B26" s="12">
        <v>0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3">
      <c r="B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3">
      <c r="B28" s="12"/>
    </row>
    <row r="29" spans="1:26" x14ac:dyDescent="0.3">
      <c r="B29" s="12"/>
    </row>
    <row r="30" spans="1:26" x14ac:dyDescent="0.3">
      <c r="B30" s="12"/>
    </row>
    <row r="31" spans="1:26" x14ac:dyDescent="0.3">
      <c r="B31" s="12"/>
    </row>
    <row r="32" spans="1:26" x14ac:dyDescent="0.3">
      <c r="B32" s="12"/>
    </row>
    <row r="33" spans="2:2" x14ac:dyDescent="0.3">
      <c r="B33" s="12"/>
    </row>
    <row r="34" spans="2:2" x14ac:dyDescent="0.3">
      <c r="B34" s="12"/>
    </row>
    <row r="35" spans="2:2" x14ac:dyDescent="0.3">
      <c r="B35" s="12"/>
    </row>
    <row r="36" spans="2:2" x14ac:dyDescent="0.3">
      <c r="B36" s="12"/>
    </row>
    <row r="37" spans="2:2" x14ac:dyDescent="0.3">
      <c r="B37" s="12"/>
    </row>
    <row r="38" spans="2:2" x14ac:dyDescent="0.3">
      <c r="B38" s="12"/>
    </row>
    <row r="39" spans="2:2" x14ac:dyDescent="0.3">
      <c r="B39" s="12"/>
    </row>
    <row r="40" spans="2:2" x14ac:dyDescent="0.3">
      <c r="B40" s="12"/>
    </row>
    <row r="41" spans="2:2" x14ac:dyDescent="0.3">
      <c r="B41" s="12"/>
    </row>
    <row r="42" spans="2:2" x14ac:dyDescent="0.3">
      <c r="B42" s="12"/>
    </row>
    <row r="43" spans="2:2" x14ac:dyDescent="0.3">
      <c r="B43" s="12"/>
    </row>
    <row r="44" spans="2:2" x14ac:dyDescent="0.3">
      <c r="B44" s="12"/>
    </row>
    <row r="45" spans="2:2" x14ac:dyDescent="0.3">
      <c r="B45" s="12"/>
    </row>
    <row r="46" spans="2:2" x14ac:dyDescent="0.3">
      <c r="B46" s="12"/>
    </row>
  </sheetData>
  <mergeCells count="2">
    <mergeCell ref="N1:Q1"/>
    <mergeCell ref="A1:K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2E9D-2EC0-44CD-B438-A5CFA54DEF2F}">
  <dimension ref="A1:J38"/>
  <sheetViews>
    <sheetView zoomScale="85" zoomScaleNormal="85" workbookViewId="0">
      <selection activeCell="E21" sqref="E21"/>
    </sheetView>
  </sheetViews>
  <sheetFormatPr defaultRowHeight="14.4" x14ac:dyDescent="0.3"/>
  <cols>
    <col min="1" max="1" width="38.44140625" customWidth="1"/>
    <col min="2" max="2" width="15.6640625" bestFit="1" customWidth="1"/>
    <col min="3" max="3" width="17.6640625" customWidth="1"/>
    <col min="4" max="4" width="14.33203125" customWidth="1"/>
    <col min="5" max="5" width="13.88671875" customWidth="1"/>
    <col min="6" max="6" width="11.88671875" customWidth="1"/>
    <col min="7" max="7" width="10.33203125" bestFit="1" customWidth="1"/>
    <col min="10" max="10" width="11.109375" bestFit="1" customWidth="1"/>
  </cols>
  <sheetData>
    <row r="1" spans="1:6" ht="24" thickBot="1" x14ac:dyDescent="0.5">
      <c r="A1" s="14" t="s">
        <v>29</v>
      </c>
    </row>
    <row r="2" spans="1:6" ht="16.2" thickBot="1" x14ac:dyDescent="0.35">
      <c r="A2" s="33" t="s">
        <v>30</v>
      </c>
      <c r="B2" s="34" t="s">
        <v>31</v>
      </c>
      <c r="C2" s="34" t="s">
        <v>32</v>
      </c>
      <c r="D2" s="35" t="s">
        <v>33</v>
      </c>
    </row>
    <row r="3" spans="1:6" x14ac:dyDescent="0.3">
      <c r="A3" s="45" t="s">
        <v>34</v>
      </c>
      <c r="B3" s="46">
        <v>266899827</v>
      </c>
      <c r="C3" s="47"/>
      <c r="D3" s="48" t="s">
        <v>35</v>
      </c>
      <c r="E3" t="s">
        <v>36</v>
      </c>
    </row>
    <row r="4" spans="1:6" x14ac:dyDescent="0.3">
      <c r="A4" s="32" t="s">
        <v>37</v>
      </c>
      <c r="B4" s="22">
        <v>7.0000000000000001E-3</v>
      </c>
      <c r="C4" s="21" t="s">
        <v>38</v>
      </c>
      <c r="D4" s="27" t="s">
        <v>35</v>
      </c>
      <c r="E4" t="s">
        <v>36</v>
      </c>
    </row>
    <row r="5" spans="1:6" x14ac:dyDescent="0.3">
      <c r="A5" s="32" t="s">
        <v>39</v>
      </c>
      <c r="B5" s="10">
        <v>700000</v>
      </c>
      <c r="C5" s="6" t="s">
        <v>40</v>
      </c>
      <c r="D5" s="37" t="s">
        <v>41</v>
      </c>
      <c r="E5" t="s">
        <v>36</v>
      </c>
      <c r="F5" s="44"/>
    </row>
    <row r="6" spans="1:6" x14ac:dyDescent="0.3">
      <c r="A6" s="32" t="s">
        <v>42</v>
      </c>
      <c r="B6" s="10">
        <f>B3-B5</f>
        <v>266199827</v>
      </c>
      <c r="C6" s="6"/>
      <c r="D6" s="37"/>
      <c r="E6" t="s">
        <v>36</v>
      </c>
    </row>
    <row r="7" spans="1:6" ht="15.6" x14ac:dyDescent="0.35">
      <c r="A7" s="32" t="s">
        <v>43</v>
      </c>
      <c r="B7" s="24">
        <f>1187.8*1000000</f>
        <v>1187800000</v>
      </c>
      <c r="C7" s="25" t="s">
        <v>173</v>
      </c>
      <c r="D7" s="27" t="s">
        <v>44</v>
      </c>
      <c r="E7" t="s">
        <v>36</v>
      </c>
    </row>
    <row r="8" spans="1:6" x14ac:dyDescent="0.3">
      <c r="A8" s="28" t="s">
        <v>45</v>
      </c>
      <c r="B8" s="10">
        <f>B7/2</f>
        <v>593900000</v>
      </c>
      <c r="C8" s="21" t="s">
        <v>46</v>
      </c>
      <c r="D8" s="29" t="s">
        <v>36</v>
      </c>
      <c r="E8" s="85" t="s">
        <v>36</v>
      </c>
    </row>
    <row r="9" spans="1:6" x14ac:dyDescent="0.3">
      <c r="A9" s="30" t="s">
        <v>47</v>
      </c>
      <c r="B9" s="21">
        <f>8.887*10^(-3)</f>
        <v>8.8870000000000008E-3</v>
      </c>
      <c r="C9" s="21" t="s">
        <v>48</v>
      </c>
      <c r="D9" s="27" t="s">
        <v>49</v>
      </c>
      <c r="E9" s="85" t="s">
        <v>36</v>
      </c>
      <c r="F9" s="85"/>
    </row>
    <row r="10" spans="1:6" x14ac:dyDescent="0.3">
      <c r="A10" s="28" t="s">
        <v>50</v>
      </c>
      <c r="B10" s="21">
        <v>142000000000</v>
      </c>
      <c r="C10" s="21" t="s">
        <v>51</v>
      </c>
      <c r="D10" s="27" t="s">
        <v>52</v>
      </c>
      <c r="E10" s="85" t="s">
        <v>36</v>
      </c>
    </row>
    <row r="11" spans="1:6" x14ac:dyDescent="0.3">
      <c r="A11" s="28" t="s">
        <v>53</v>
      </c>
      <c r="B11" s="21">
        <f>139.067454571262*1000000000</f>
        <v>139067454571.26199</v>
      </c>
      <c r="C11" s="21"/>
      <c r="D11" s="29" t="s">
        <v>54</v>
      </c>
      <c r="E11" t="s">
        <v>36</v>
      </c>
    </row>
    <row r="12" spans="1:6" x14ac:dyDescent="0.3">
      <c r="A12" s="30" t="s">
        <v>55</v>
      </c>
      <c r="B12" s="23">
        <v>0.28999999999999998</v>
      </c>
      <c r="C12" s="21" t="s">
        <v>56</v>
      </c>
      <c r="D12" s="27" t="s">
        <v>57</v>
      </c>
      <c r="E12" t="s">
        <v>36</v>
      </c>
    </row>
    <row r="13" spans="1:6" x14ac:dyDescent="0.3">
      <c r="A13" s="30" t="s">
        <v>58</v>
      </c>
      <c r="B13" s="8">
        <v>-0.01</v>
      </c>
      <c r="C13" s="21" t="s">
        <v>59</v>
      </c>
      <c r="D13" s="27"/>
    </row>
    <row r="14" spans="1:6" x14ac:dyDescent="0.3">
      <c r="A14" s="31" t="s">
        <v>60</v>
      </c>
      <c r="B14" s="23">
        <v>1.3924816548499701</v>
      </c>
      <c r="C14" s="77" t="s">
        <v>61</v>
      </c>
      <c r="D14" s="27" t="s">
        <v>62</v>
      </c>
      <c r="E14" t="s">
        <v>36</v>
      </c>
    </row>
    <row r="15" spans="1:6" x14ac:dyDescent="0.3">
      <c r="A15" s="30" t="s">
        <v>63</v>
      </c>
      <c r="B15" s="8">
        <v>-0.05</v>
      </c>
      <c r="C15" s="77" t="s">
        <v>64</v>
      </c>
      <c r="D15" s="27" t="s">
        <v>36</v>
      </c>
    </row>
    <row r="16" spans="1:6" x14ac:dyDescent="0.3">
      <c r="A16" s="31" t="s">
        <v>65</v>
      </c>
      <c r="B16" s="8">
        <v>0.23</v>
      </c>
      <c r="C16" s="21"/>
      <c r="D16" s="27"/>
    </row>
    <row r="17" spans="1:10" x14ac:dyDescent="0.3">
      <c r="A17" s="49" t="s">
        <v>66</v>
      </c>
      <c r="B17" s="8">
        <v>0.5</v>
      </c>
      <c r="C17" s="21" t="s">
        <v>67</v>
      </c>
      <c r="D17" s="50"/>
      <c r="E17" t="s">
        <v>36</v>
      </c>
    </row>
    <row r="18" spans="1:10" x14ac:dyDescent="0.3">
      <c r="A18" s="53" t="s">
        <v>171</v>
      </c>
      <c r="B18" s="54">
        <f>input_tables!P22</f>
        <v>1.3504214160000015E-3</v>
      </c>
      <c r="C18" s="6"/>
      <c r="D18" s="56" t="s">
        <v>68</v>
      </c>
      <c r="E18" t="s">
        <v>36</v>
      </c>
    </row>
    <row r="19" spans="1:10" x14ac:dyDescent="0.3">
      <c r="A19" s="53" t="s">
        <v>69</v>
      </c>
      <c r="B19" s="86">
        <v>10</v>
      </c>
      <c r="C19" s="55"/>
      <c r="D19" s="81"/>
      <c r="E19" t="s">
        <v>36</v>
      </c>
    </row>
    <row r="20" spans="1:10" ht="15" thickBot="1" x14ac:dyDescent="0.35">
      <c r="A20" s="82" t="s">
        <v>174</v>
      </c>
      <c r="B20" s="87">
        <v>10000</v>
      </c>
      <c r="C20" s="51"/>
      <c r="D20" s="57"/>
      <c r="E20" t="s">
        <v>36</v>
      </c>
    </row>
    <row r="21" spans="1:10" x14ac:dyDescent="0.3">
      <c r="A21" s="36"/>
      <c r="B21" s="76"/>
      <c r="C21" s="36"/>
      <c r="D21" s="36"/>
    </row>
    <row r="22" spans="1:10" x14ac:dyDescent="0.3">
      <c r="A22" s="36"/>
      <c r="B22" s="76"/>
      <c r="C22" s="36"/>
      <c r="D22" s="36"/>
    </row>
    <row r="23" spans="1:10" ht="18" x14ac:dyDescent="0.35">
      <c r="A23" s="79" t="s">
        <v>70</v>
      </c>
    </row>
    <row r="24" spans="1:10" x14ac:dyDescent="0.3">
      <c r="A24" s="101" t="s">
        <v>15</v>
      </c>
      <c r="B24" s="101"/>
      <c r="C24" s="101"/>
      <c r="D24" s="101"/>
      <c r="E24" s="101"/>
      <c r="F24" s="101"/>
      <c r="G24" s="101"/>
      <c r="H24" s="101"/>
      <c r="I24" s="101"/>
      <c r="J24" s="101"/>
    </row>
    <row r="25" spans="1:10" x14ac:dyDescent="0.3">
      <c r="A25" s="80" t="s">
        <v>71</v>
      </c>
      <c r="B25" s="84" t="s">
        <v>72</v>
      </c>
      <c r="C25" s="84" t="s">
        <v>73</v>
      </c>
      <c r="D25" s="84" t="s">
        <v>74</v>
      </c>
      <c r="E25" s="84" t="s">
        <v>75</v>
      </c>
      <c r="F25" s="84" t="s">
        <v>76</v>
      </c>
      <c r="G25" s="84" t="s">
        <v>77</v>
      </c>
      <c r="H25" s="84" t="s">
        <v>78</v>
      </c>
      <c r="I25" s="84" t="s">
        <v>79</v>
      </c>
      <c r="J25" s="84" t="s">
        <v>80</v>
      </c>
    </row>
    <row r="26" spans="1:10" x14ac:dyDescent="0.3">
      <c r="A26" s="9">
        <v>0.31075000000000003</v>
      </c>
      <c r="B26" s="9">
        <v>0.31075000000000003</v>
      </c>
      <c r="C26" s="9">
        <v>0.31075000000000003</v>
      </c>
      <c r="D26" s="9">
        <v>0.31075000000000003</v>
      </c>
      <c r="E26" s="9">
        <v>0.31075000000000003</v>
      </c>
      <c r="F26" s="9">
        <v>0.31075000000000003</v>
      </c>
      <c r="G26" s="9">
        <v>0.31075000000000003</v>
      </c>
      <c r="H26" s="9">
        <v>0.31075000000000003</v>
      </c>
      <c r="I26" s="9">
        <v>0.31075000000000003</v>
      </c>
      <c r="J26" s="9">
        <v>0.31075000000000003</v>
      </c>
    </row>
    <row r="27" spans="1:10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</row>
    <row r="29" spans="1:10" ht="23.4" x14ac:dyDescent="0.45">
      <c r="A29" s="14" t="s">
        <v>81</v>
      </c>
      <c r="B29" s="12"/>
    </row>
    <row r="30" spans="1:10" x14ac:dyDescent="0.3">
      <c r="A30" s="6" t="s">
        <v>82</v>
      </c>
      <c r="B30" s="10">
        <f>model!C12-input_variables!B8</f>
        <v>45820.532177209854</v>
      </c>
    </row>
    <row r="31" spans="1:10" x14ac:dyDescent="0.3">
      <c r="A31" s="6" t="s">
        <v>83</v>
      </c>
      <c r="B31" s="8">
        <f>(input_variables!B8-model!C12)/model!C12</f>
        <v>-7.7145979638604958E-5</v>
      </c>
      <c r="C31" s="2"/>
    </row>
    <row r="32" spans="1:10" x14ac:dyDescent="0.3">
      <c r="A32" s="6" t="s">
        <v>84</v>
      </c>
      <c r="B32" s="10">
        <f>model!I12</f>
        <v>196733921.66894263</v>
      </c>
    </row>
    <row r="33" spans="1:2" x14ac:dyDescent="0.3">
      <c r="A33" s="6" t="s">
        <v>85</v>
      </c>
      <c r="B33" s="8">
        <f>model!I12/model!W12</f>
        <v>0.68924999999999992</v>
      </c>
    </row>
    <row r="34" spans="1:2" x14ac:dyDescent="0.3">
      <c r="A34" s="6" t="s">
        <v>86</v>
      </c>
      <c r="B34" s="7">
        <f>B32/10</f>
        <v>19673392.166894265</v>
      </c>
    </row>
    <row r="35" spans="1:2" x14ac:dyDescent="0.3">
      <c r="A35" s="6" t="s">
        <v>87</v>
      </c>
      <c r="B35" s="22">
        <f>B34/B3</f>
        <v>7.3710771520635959E-2</v>
      </c>
    </row>
    <row r="36" spans="1:2" x14ac:dyDescent="0.3">
      <c r="A36" s="6" t="s">
        <v>88</v>
      </c>
      <c r="B36" s="88">
        <f>SUM(financials!B6:K6) / 1000000000</f>
        <v>985.82781312649297</v>
      </c>
    </row>
    <row r="37" spans="1:2" x14ac:dyDescent="0.3">
      <c r="A37" s="83" t="s">
        <v>89</v>
      </c>
      <c r="B37" s="89">
        <f>model!I12*B20 /1000000000</f>
        <v>1967.3392166894262</v>
      </c>
    </row>
    <row r="38" spans="1:2" x14ac:dyDescent="0.3">
      <c r="A38" s="102" t="s">
        <v>172</v>
      </c>
      <c r="B38" s="8">
        <f>(B37-B36)/B36</f>
        <v>0.99562153805554487</v>
      </c>
    </row>
  </sheetData>
  <mergeCells count="1">
    <mergeCell ref="A24:J24"/>
  </mergeCells>
  <hyperlinks>
    <hyperlink ref="D7" r:id="rId1" xr:uid="{51FD1C0C-D6E3-477D-9F1D-C7E2BF445723}"/>
    <hyperlink ref="D9" r:id="rId2" location=":~:text=filled%20with%20gasoline-,The%20amount%20of%20carbon%20dioxide%20emitted%20per%20gallon%20of%20motor,tanker%20truck%20contains%208%2C500%20gallons." display="https://www.epa.gov/energy/greenhouse-gases-equivalencies-calculator-calculations-and-references#:~:text=filled%20with%20gasoline-,The%20amount%20of%20carbon%20dioxide%20emitted%20per%20gallon%20of%20motor,tanker%20truck%20contains%208%2C500%20gallons." xr:uid="{31E57CFF-7B24-463B-81D8-083833A88A17}"/>
    <hyperlink ref="D10" r:id="rId3" location=":~:text=In%202019%2C%20Americans%20used%20about,that%20U.S.%20oil%20refineries%20produce. " xr:uid="{3DBEB3A5-2CF5-43B1-A49D-694ED4859B07}"/>
    <hyperlink ref="D18" r:id="rId4" xr:uid="{721BE0C3-7D7E-4D04-9539-824B31E01320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6BE9-17CE-42C8-942A-06EE09D540D7}">
  <dimension ref="A5:C49"/>
  <sheetViews>
    <sheetView tabSelected="1" topLeftCell="B33" workbookViewId="0">
      <selection activeCell="B48" sqref="B48:C48"/>
    </sheetView>
  </sheetViews>
  <sheetFormatPr defaultRowHeight="14.4" x14ac:dyDescent="0.3"/>
  <cols>
    <col min="1" max="1" width="43.77734375" bestFit="1" customWidth="1"/>
    <col min="2" max="2" width="24.33203125" bestFit="1" customWidth="1"/>
    <col min="3" max="3" width="31.33203125" bestFit="1" customWidth="1"/>
  </cols>
  <sheetData>
    <row r="5" spans="1:3" x14ac:dyDescent="0.3">
      <c r="A5" t="s">
        <v>177</v>
      </c>
    </row>
    <row r="6" spans="1:3" x14ac:dyDescent="0.3">
      <c r="B6" t="s">
        <v>175</v>
      </c>
      <c r="C6" t="s">
        <v>176</v>
      </c>
    </row>
    <row r="7" spans="1:3" x14ac:dyDescent="0.3">
      <c r="A7" t="s">
        <v>178</v>
      </c>
      <c r="B7" s="88">
        <v>985.89932765773199</v>
      </c>
      <c r="C7">
        <v>1024.642992504256</v>
      </c>
    </row>
    <row r="8" spans="1:3" x14ac:dyDescent="0.3">
      <c r="A8" t="s">
        <v>179</v>
      </c>
      <c r="B8" s="89">
        <v>1967.4819326282507</v>
      </c>
      <c r="C8">
        <v>1171.2697099289173</v>
      </c>
    </row>
    <row r="9" spans="1:3" x14ac:dyDescent="0.3">
      <c r="A9" t="s">
        <v>172</v>
      </c>
      <c r="B9" s="2">
        <v>0.99562153805554487</v>
      </c>
      <c r="C9" s="2">
        <v>0.14310029785720935</v>
      </c>
    </row>
    <row r="10" spans="1:3" x14ac:dyDescent="0.3">
      <c r="A10" s="6" t="s">
        <v>84</v>
      </c>
      <c r="B10" s="10">
        <v>196662563.69953066</v>
      </c>
      <c r="C10" s="104">
        <v>117126970.99289173</v>
      </c>
    </row>
    <row r="47" spans="1:3" x14ac:dyDescent="0.3">
      <c r="A47" t="s">
        <v>180</v>
      </c>
    </row>
    <row r="48" spans="1:3" x14ac:dyDescent="0.3">
      <c r="B48" t="s">
        <v>179</v>
      </c>
      <c r="C48" t="s">
        <v>178</v>
      </c>
    </row>
    <row r="49" spans="1:3" x14ac:dyDescent="0.3">
      <c r="A49" t="s">
        <v>181</v>
      </c>
      <c r="B49" s="12">
        <v>0.77</v>
      </c>
      <c r="C49" s="12">
        <v>0.99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C54B-3DCA-4A32-8AE0-BAFC94DA3E2B}">
  <dimension ref="A1:K6"/>
  <sheetViews>
    <sheetView workbookViewId="0">
      <selection activeCell="D28" sqref="D28"/>
    </sheetView>
  </sheetViews>
  <sheetFormatPr defaultRowHeight="14.4" x14ac:dyDescent="0.3"/>
  <cols>
    <col min="1" max="1" width="15" bestFit="1" customWidth="1"/>
    <col min="2" max="2" width="20.6640625" bestFit="1" customWidth="1"/>
    <col min="3" max="4" width="19.88671875" bestFit="1" customWidth="1"/>
    <col min="5" max="5" width="18.33203125" bestFit="1" customWidth="1"/>
    <col min="6" max="10" width="17.44140625" bestFit="1" customWidth="1"/>
    <col min="11" max="11" width="16.33203125" bestFit="1" customWidth="1"/>
  </cols>
  <sheetData>
    <row r="1" spans="1:11" ht="15" thickBot="1" x14ac:dyDescent="0.35"/>
    <row r="2" spans="1:11" ht="15" thickBot="1" x14ac:dyDescent="0.35">
      <c r="A2" s="75"/>
      <c r="B2" s="73" t="s">
        <v>71</v>
      </c>
      <c r="C2" s="69" t="s">
        <v>72</v>
      </c>
      <c r="D2" s="69" t="s">
        <v>73</v>
      </c>
      <c r="E2" s="69" t="s">
        <v>74</v>
      </c>
      <c r="F2" s="69" t="s">
        <v>75</v>
      </c>
      <c r="G2" s="69" t="s">
        <v>76</v>
      </c>
      <c r="H2" s="69" t="s">
        <v>77</v>
      </c>
      <c r="I2" s="69" t="s">
        <v>78</v>
      </c>
      <c r="J2" s="69" t="s">
        <v>79</v>
      </c>
      <c r="K2" s="70" t="s">
        <v>80</v>
      </c>
    </row>
    <row r="3" spans="1:11" x14ac:dyDescent="0.3">
      <c r="A3" s="74" t="s">
        <v>90</v>
      </c>
      <c r="B3" s="59">
        <f>model!$W$3/10*(1-input_variables!A26)</f>
        <v>18476257.837506823</v>
      </c>
      <c r="C3" s="60">
        <f>model!$W$3/10*(1-input_variables!B26)</f>
        <v>18476257.837506823</v>
      </c>
      <c r="D3" s="60">
        <f>model!$W$3/10*(1-input_variables!C26)</f>
        <v>18476257.837506823</v>
      </c>
      <c r="E3" s="60">
        <f>model!$W$3/10*(1-input_variables!D26)</f>
        <v>18476257.837506823</v>
      </c>
      <c r="F3" s="60">
        <f>model!$W$3/10*(1-input_variables!E26)</f>
        <v>18476257.837506823</v>
      </c>
      <c r="G3" s="60">
        <f>model!$W$3/10*(1-input_variables!F26)</f>
        <v>18476257.837506823</v>
      </c>
      <c r="H3" s="60">
        <f>model!$W$3/10*(1-input_variables!G26)</f>
        <v>18476257.837506823</v>
      </c>
      <c r="I3" s="60">
        <f>model!$W$3/10*(1-input_variables!H26)</f>
        <v>18476257.837506823</v>
      </c>
      <c r="J3" s="60">
        <f>model!$W$3/10*(1-input_variables!I26)</f>
        <v>18476257.837506823</v>
      </c>
      <c r="K3" s="61">
        <f>model!$W$3/10*(1-input_variables!J26)</f>
        <v>18476257.837506823</v>
      </c>
    </row>
    <row r="4" spans="1:11" x14ac:dyDescent="0.3">
      <c r="A4" s="71" t="s">
        <v>91</v>
      </c>
      <c r="B4" s="62">
        <f>input_tables!Q12</f>
        <v>1654.2834917512409</v>
      </c>
      <c r="C4" s="16">
        <f>input_tables!Q11</f>
        <v>879.49991527370355</v>
      </c>
      <c r="D4" s="16">
        <f>input_tables!Q10</f>
        <v>683.28168121620035</v>
      </c>
      <c r="E4" s="16">
        <f>input_tables!Q9</f>
        <v>557.70808215710349</v>
      </c>
      <c r="F4" s="16">
        <f>input_tables!Q8</f>
        <v>460.09478064333217</v>
      </c>
      <c r="G4" s="16">
        <f>input_tables!Q7</f>
        <v>376.63785071467282</v>
      </c>
      <c r="H4" s="16">
        <f>input_tables!Q6</f>
        <v>300.05233857244718</v>
      </c>
      <c r="I4" s="16">
        <f>input_tables!Q5</f>
        <v>224.8451904288699</v>
      </c>
      <c r="J4" s="16">
        <f>input_tables!Q4</f>
        <v>145.86770153677861</v>
      </c>
      <c r="K4" s="26">
        <f>input_tables!Q3</f>
        <v>53.375513648853158</v>
      </c>
    </row>
    <row r="5" spans="1:11" x14ac:dyDescent="0.3">
      <c r="A5" s="71" t="s">
        <v>92</v>
      </c>
      <c r="B5" s="63">
        <f>B4*input_variables!$B$19</f>
        <v>16542.834917512409</v>
      </c>
      <c r="C5" s="58">
        <f>C4*input_variables!$B$19</f>
        <v>8794.9991527370348</v>
      </c>
      <c r="D5" s="58">
        <f>D4*input_variables!$B$19</f>
        <v>6832.8168121620038</v>
      </c>
      <c r="E5" s="58">
        <f>E4*input_variables!$B$19</f>
        <v>5577.0808215710349</v>
      </c>
      <c r="F5" s="58">
        <f>F4*input_variables!$B$19</f>
        <v>4600.9478064333216</v>
      </c>
      <c r="G5" s="58">
        <f>G4*input_variables!$B$19</f>
        <v>3766.3785071467282</v>
      </c>
      <c r="H5" s="58">
        <f>H4*input_variables!$B$19</f>
        <v>3000.5233857244721</v>
      </c>
      <c r="I5" s="58">
        <f>I4*input_variables!$B$19</f>
        <v>2248.4519042886991</v>
      </c>
      <c r="J5" s="58">
        <f>J4*input_variables!$B$19</f>
        <v>1458.6770153677862</v>
      </c>
      <c r="K5" s="64">
        <f>K4*input_variables!$B$19</f>
        <v>533.75513648853155</v>
      </c>
    </row>
    <row r="6" spans="1:11" ht="15" thickBot="1" x14ac:dyDescent="0.35">
      <c r="A6" s="72" t="s">
        <v>93</v>
      </c>
      <c r="B6" s="65">
        <f>B5*B3</f>
        <v>305649683299.2702</v>
      </c>
      <c r="C6" s="66">
        <f t="shared" ref="C6:K6" si="0">C5*C3</f>
        <v>162498672026.6235</v>
      </c>
      <c r="D6" s="66">
        <f t="shared" si="0"/>
        <v>126244885177.9566</v>
      </c>
      <c r="E6" s="67">
        <f t="shared" si="0"/>
        <v>103043583239.96083</v>
      </c>
      <c r="F6" s="67">
        <f t="shared" si="0"/>
        <v>85008297968.573486</v>
      </c>
      <c r="G6" s="67">
        <f t="shared" si="0"/>
        <v>69588580411.686981</v>
      </c>
      <c r="H6" s="67">
        <f t="shared" si="0"/>
        <v>55438443722.114288</v>
      </c>
      <c r="I6" s="67">
        <f t="shared" si="0"/>
        <v>41542977118.871216</v>
      </c>
      <c r="J6" s="67">
        <f t="shared" si="0"/>
        <v>26950892637.58012</v>
      </c>
      <c r="K6" s="68">
        <f t="shared" si="0"/>
        <v>9861797523.8557549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BE37-EB78-4896-A042-3F92DF7DDCCA}">
  <dimension ref="A1:W37"/>
  <sheetViews>
    <sheetView topLeftCell="L1" zoomScale="79" zoomScaleNormal="100" workbookViewId="0">
      <selection activeCell="W12" sqref="W12"/>
    </sheetView>
  </sheetViews>
  <sheetFormatPr defaultRowHeight="14.4" x14ac:dyDescent="0.3"/>
  <cols>
    <col min="3" max="3" width="30.109375" customWidth="1"/>
    <col min="4" max="4" width="35.33203125" bestFit="1" customWidth="1"/>
    <col min="5" max="5" width="35.33203125" customWidth="1"/>
    <col min="6" max="6" width="25.6640625" customWidth="1"/>
    <col min="7" max="7" width="37.33203125" bestFit="1" customWidth="1"/>
    <col min="8" max="8" width="21.109375" bestFit="1" customWidth="1"/>
    <col min="9" max="9" width="25.6640625" customWidth="1"/>
    <col min="10" max="10" width="43.33203125" bestFit="1" customWidth="1"/>
    <col min="11" max="11" width="34.6640625" customWidth="1"/>
    <col min="12" max="12" width="25.6640625" customWidth="1"/>
    <col min="13" max="13" width="25.6640625" bestFit="1" customWidth="1"/>
    <col min="14" max="15" width="22.6640625" bestFit="1" customWidth="1"/>
    <col min="16" max="20" width="21.6640625" bestFit="1" customWidth="1"/>
    <col min="21" max="21" width="20.109375" bestFit="1" customWidth="1"/>
    <col min="22" max="22" width="18.88671875" bestFit="1" customWidth="1"/>
    <col min="23" max="23" width="18" bestFit="1" customWidth="1"/>
  </cols>
  <sheetData>
    <row r="1" spans="1:23" s="20" customFormat="1" ht="18" x14ac:dyDescent="0.35">
      <c r="A1" s="19" t="s">
        <v>128</v>
      </c>
      <c r="B1" s="19" t="s">
        <v>129</v>
      </c>
      <c r="C1" s="19" t="s">
        <v>130</v>
      </c>
      <c r="D1" s="19" t="s">
        <v>131</v>
      </c>
      <c r="E1" s="19" t="s">
        <v>132</v>
      </c>
      <c r="F1" s="19" t="s">
        <v>133</v>
      </c>
      <c r="G1" s="19" t="s">
        <v>134</v>
      </c>
      <c r="H1" s="19" t="s">
        <v>135</v>
      </c>
      <c r="I1" s="19" t="s">
        <v>136</v>
      </c>
      <c r="J1" s="19" t="s">
        <v>137</v>
      </c>
      <c r="K1" s="19" t="s">
        <v>138</v>
      </c>
      <c r="L1" s="19" t="s">
        <v>139</v>
      </c>
      <c r="M1" s="19" t="s">
        <v>71</v>
      </c>
      <c r="N1" s="19" t="s">
        <v>72</v>
      </c>
      <c r="O1" s="19" t="s">
        <v>73</v>
      </c>
      <c r="P1" s="19" t="s">
        <v>74</v>
      </c>
      <c r="Q1" s="19" t="s">
        <v>75</v>
      </c>
      <c r="R1" s="19" t="s">
        <v>76</v>
      </c>
      <c r="S1" s="19" t="s">
        <v>77</v>
      </c>
      <c r="T1" s="19" t="s">
        <v>78</v>
      </c>
      <c r="U1" s="19" t="s">
        <v>79</v>
      </c>
      <c r="V1" s="19" t="s">
        <v>80</v>
      </c>
      <c r="W1" s="19" t="s">
        <v>140</v>
      </c>
    </row>
    <row r="2" spans="1:23" s="11" customFormat="1" ht="28.8" x14ac:dyDescent="0.3">
      <c r="A2" s="38"/>
      <c r="B2" s="38"/>
      <c r="C2" s="38" t="s">
        <v>141</v>
      </c>
      <c r="D2" s="39" t="s">
        <v>142</v>
      </c>
      <c r="E2" s="39" t="s">
        <v>143</v>
      </c>
      <c r="F2" s="39" t="s">
        <v>144</v>
      </c>
      <c r="G2" s="39" t="s">
        <v>145</v>
      </c>
      <c r="H2" s="39" t="s">
        <v>146</v>
      </c>
      <c r="I2" s="39" t="s">
        <v>147</v>
      </c>
      <c r="J2" s="39" t="s">
        <v>148</v>
      </c>
      <c r="K2" s="39" t="s">
        <v>149</v>
      </c>
      <c r="L2" s="39" t="s">
        <v>150</v>
      </c>
      <c r="M2" s="40" t="s">
        <v>42</v>
      </c>
      <c r="N2" s="41"/>
      <c r="O2" s="41"/>
      <c r="P2" s="41"/>
      <c r="Q2" s="41"/>
      <c r="R2" s="41"/>
      <c r="S2" s="41"/>
      <c r="T2" s="41"/>
      <c r="U2" s="41"/>
      <c r="V2" s="41"/>
      <c r="W2" s="42" t="s">
        <v>151</v>
      </c>
    </row>
    <row r="3" spans="1:23" x14ac:dyDescent="0.3">
      <c r="A3" s="6">
        <v>1</v>
      </c>
      <c r="B3" s="6">
        <v>2021</v>
      </c>
      <c r="C3" s="7">
        <f>D3+J3+K3</f>
        <v>1464248787.3180423</v>
      </c>
      <c r="D3" s="7">
        <f>E3*input_variables!$B$14*0.00045*(1-input_variables!$B$15)^A3</f>
        <v>3.4524658521617404E-8</v>
      </c>
      <c r="E3" s="7">
        <f>F3*(1-H3)</f>
        <v>5.2473266063303358E-5</v>
      </c>
      <c r="F3" s="7">
        <f>G3*input_variables!$B$12*(1-input_variables!$B$13)^A3</f>
        <v>6.8147098783510855E-5</v>
      </c>
      <c r="G3" s="7">
        <f>SUM(M27:V27)</f>
        <v>2.3266336218337612E-4</v>
      </c>
      <c r="H3" s="9">
        <f>input_variables!B16</f>
        <v>0.23</v>
      </c>
      <c r="I3" s="7">
        <f>W3-SUM(M3:V3)</f>
        <v>0</v>
      </c>
      <c r="J3" s="7">
        <f>L3*input_variables!$B$9</f>
        <v>1271099278.2379606</v>
      </c>
      <c r="K3" s="7">
        <f>L3*input_variables!$B$18</f>
        <v>193149509.08008173</v>
      </c>
      <c r="L3" s="7">
        <f>SUM(M15:V15)</f>
        <v>143029062477.54703</v>
      </c>
      <c r="M3" s="10">
        <f>W3*0.1*input_tables!B3</f>
        <v>26806322.578899991</v>
      </c>
      <c r="N3" s="10">
        <f>W3*0.1*input_tables!C3</f>
        <v>26806322.578899991</v>
      </c>
      <c r="O3" s="10">
        <f>W3*0.1*input_tables!D3</f>
        <v>26806322.578899998</v>
      </c>
      <c r="P3" s="10">
        <f>W3*0.1*input_tables!E3</f>
        <v>26806322.578899998</v>
      </c>
      <c r="Q3" s="10">
        <f>W3*0.1*input_tables!F3</f>
        <v>26806322.578899998</v>
      </c>
      <c r="R3" s="10">
        <f>W3*0.1*input_tables!G3</f>
        <v>26806322.578899998</v>
      </c>
      <c r="S3" s="10">
        <f>W3*0.1*input_tables!H3</f>
        <v>26806322.578899998</v>
      </c>
      <c r="T3" s="10">
        <f>W3*0.1*input_tables!I3</f>
        <v>26806322.578899998</v>
      </c>
      <c r="U3" s="10">
        <f>W3*0.1*input_tables!J3</f>
        <v>26806322.578899998</v>
      </c>
      <c r="V3" s="10">
        <f>W3*0.1*input_tables!K3</f>
        <v>26806322.578899998</v>
      </c>
      <c r="W3" s="15">
        <f>input_variables!$B$6*(1+input_variables!$B$4)^model!A3</f>
        <v>268063225.78899997</v>
      </c>
    </row>
    <row r="4" spans="1:23" x14ac:dyDescent="0.3">
      <c r="A4" s="6">
        <v>2</v>
      </c>
      <c r="B4" s="6">
        <v>2022</v>
      </c>
      <c r="C4" s="7">
        <f t="shared" ref="C4:C12" si="0">D4+J4+K4</f>
        <v>1372215704.0980048</v>
      </c>
      <c r="D4" s="7">
        <f>E4*input_variables!$B$14*0.00045*(1-input_variables!$B$15)^A4</f>
        <v>10639187.601577733</v>
      </c>
      <c r="E4" s="7">
        <f t="shared" ref="E4:E12" si="1">F4*(1-H4)</f>
        <v>15400253605.36158</v>
      </c>
      <c r="F4" s="7">
        <f>G4*input_variables!$B$12*(1-input_variables!$B$13)^A4</f>
        <v>20811153520.758892</v>
      </c>
      <c r="G4" s="7">
        <f t="shared" ref="G4:G12" si="2">SUM(M28:V28)</f>
        <v>70348591655.17543</v>
      </c>
      <c r="H4" s="9">
        <f>H3-(($H$3-$H$12)/9)</f>
        <v>0.26</v>
      </c>
      <c r="I4" s="7">
        <f>W4-SUM(M4:V4)</f>
        <v>20672879.602632701</v>
      </c>
      <c r="J4" s="7">
        <f>L4*input_variables!$B$9</f>
        <v>1181970538.3224938</v>
      </c>
      <c r="K4" s="7">
        <f>L4*input_variables!$B$18</f>
        <v>179605978.17393339</v>
      </c>
      <c r="L4" s="7">
        <f t="shared" ref="L4:L12" si="3">SUM(M16:V16)</f>
        <v>132999948050.24123</v>
      </c>
      <c r="M4" s="10">
        <f>W4*0.1*input_tables!B4</f>
        <v>24926678.876689024</v>
      </c>
      <c r="N4" s="10">
        <f>W4*0.1*input_tables!C4</f>
        <v>24926678.876689024</v>
      </c>
      <c r="O4" s="10">
        <f>W4*0.1*input_tables!D4</f>
        <v>24926678.876689032</v>
      </c>
      <c r="P4" s="10">
        <f>W4*0.1*input_tables!E4</f>
        <v>24926678.876689032</v>
      </c>
      <c r="Q4" s="10">
        <f>W4*0.1*input_tables!F4</f>
        <v>24926678.876689032</v>
      </c>
      <c r="R4" s="10">
        <f>W4*0.1*input_tables!G4</f>
        <v>24926678.876689032</v>
      </c>
      <c r="S4" s="10">
        <f>W4*0.1*input_tables!H4</f>
        <v>24926678.876689032</v>
      </c>
      <c r="T4" s="10">
        <f>W4*0.1*input_tables!I4</f>
        <v>24926678.876689032</v>
      </c>
      <c r="U4" s="10">
        <f>W4*0.1*input_tables!J4</f>
        <v>24926678.876689032</v>
      </c>
      <c r="V4" s="10">
        <f>W4*0.1*input_tables!K4</f>
        <v>24926678.876689032</v>
      </c>
      <c r="W4" s="15">
        <f>input_variables!$B$6*(1+input_variables!$B$4)^model!A4</f>
        <v>269939668.36952293</v>
      </c>
    </row>
    <row r="5" spans="1:23" x14ac:dyDescent="0.3">
      <c r="A5" s="6">
        <v>3</v>
      </c>
      <c r="B5" s="6">
        <v>2023</v>
      </c>
      <c r="C5" s="7">
        <f t="shared" si="0"/>
        <v>1279197532.4685402</v>
      </c>
      <c r="D5" s="7">
        <f>E5*input_variables!$B$14*0.00045*(1-input_variables!$B$15)^A5</f>
        <v>21802446.775810223</v>
      </c>
      <c r="E5" s="7">
        <f t="shared" si="1"/>
        <v>30056287874.128704</v>
      </c>
      <c r="F5" s="7">
        <f>G5*input_variables!$B$12*(1-input_variables!$B$13)^A5</f>
        <v>42332799822.716484</v>
      </c>
      <c r="G5" s="7">
        <f t="shared" si="2"/>
        <v>141682063593.52332</v>
      </c>
      <c r="H5" s="9">
        <f t="shared" ref="H5:H11" si="4">H4-(($H$3-$H$12)/9)</f>
        <v>0.29000000000000004</v>
      </c>
      <c r="I5" s="7">
        <f t="shared" ref="I5:I11" si="5">W5-SUM(M5:V5)</f>
        <v>41635179.519702196</v>
      </c>
      <c r="J5" s="7">
        <f>L5*input_variables!$B$9</f>
        <v>1091531712.1835761</v>
      </c>
      <c r="K5" s="7">
        <f>L5*input_variables!$B$18</f>
        <v>165863373.5091539</v>
      </c>
      <c r="L5" s="7">
        <f t="shared" si="3"/>
        <v>122823417596.89165</v>
      </c>
      <c r="M5" s="10">
        <f>W5*0.1*input_tables!B5</f>
        <v>23019406.652840734</v>
      </c>
      <c r="N5" s="10">
        <f>W5*0.1*input_tables!C5</f>
        <v>23019406.652840734</v>
      </c>
      <c r="O5" s="10">
        <f>W5*0.1*input_tables!D5</f>
        <v>23019406.652840741</v>
      </c>
      <c r="P5" s="10">
        <f>W5*0.1*input_tables!E5</f>
        <v>23019406.652840741</v>
      </c>
      <c r="Q5" s="10">
        <f>W5*0.1*input_tables!F5</f>
        <v>23019406.652840741</v>
      </c>
      <c r="R5" s="10">
        <f>W5*0.1*input_tables!G5</f>
        <v>23019406.652840741</v>
      </c>
      <c r="S5" s="10">
        <f>W5*0.1*input_tables!H5</f>
        <v>23019406.652840741</v>
      </c>
      <c r="T5" s="10">
        <f>W5*0.1*input_tables!I5</f>
        <v>23019406.652840741</v>
      </c>
      <c r="U5" s="10">
        <f>W5*0.1*input_tables!J5</f>
        <v>23019406.652840741</v>
      </c>
      <c r="V5" s="10">
        <f>W5*0.1*input_tables!K5</f>
        <v>23019406.652840741</v>
      </c>
      <c r="W5" s="15">
        <f>input_variables!$B$6*(1+input_variables!$B$4)^model!A5</f>
        <v>271829246.04810953</v>
      </c>
    </row>
    <row r="6" spans="1:23" x14ac:dyDescent="0.3">
      <c r="A6" s="6">
        <v>4</v>
      </c>
      <c r="B6" s="6">
        <v>2024</v>
      </c>
      <c r="C6" s="7">
        <f t="shared" si="0"/>
        <v>1185137710.5306916</v>
      </c>
      <c r="D6" s="7">
        <f>E6*input_variables!$B$14*0.00045*(1-input_variables!$B$15)^A6</f>
        <v>33449312.922217857</v>
      </c>
      <c r="E6" s="7">
        <f t="shared" si="1"/>
        <v>43916529130.004013</v>
      </c>
      <c r="F6" s="7">
        <f>G6*input_variables!$B$12*(1-input_variables!$B$13)^A6</f>
        <v>64583131073.535316</v>
      </c>
      <c r="G6" s="7">
        <f t="shared" si="2"/>
        <v>214010757058.01672</v>
      </c>
      <c r="H6" s="9">
        <f t="shared" si="4"/>
        <v>0.32000000000000006</v>
      </c>
      <c r="I6" s="7">
        <f t="shared" si="5"/>
        <v>62889938.664510012</v>
      </c>
      <c r="J6" s="7">
        <f>L6*input_variables!$B$9</f>
        <v>999768825.92233658</v>
      </c>
      <c r="K6" s="7">
        <f>L6*input_variables!$B$18</f>
        <v>151919571.68613711</v>
      </c>
      <c r="L6" s="7">
        <f t="shared" si="3"/>
        <v>112497898719.7408</v>
      </c>
      <c r="M6" s="10">
        <f>W6*0.1*input_tables!B6</f>
        <v>21084211.210593618</v>
      </c>
      <c r="N6" s="10">
        <f>W6*0.1*input_tables!C6</f>
        <v>21084211.210593618</v>
      </c>
      <c r="O6" s="10">
        <f>W6*0.1*input_tables!D6</f>
        <v>21084211.210593626</v>
      </c>
      <c r="P6" s="10">
        <f>W6*0.1*input_tables!E6</f>
        <v>21084211.210593626</v>
      </c>
      <c r="Q6" s="10">
        <f>W6*0.1*input_tables!F6</f>
        <v>21084211.210593626</v>
      </c>
      <c r="R6" s="10">
        <f>W6*0.1*input_tables!G6</f>
        <v>21084211.210593626</v>
      </c>
      <c r="S6" s="10">
        <f>W6*0.1*input_tables!H6</f>
        <v>21084211.210593626</v>
      </c>
      <c r="T6" s="10">
        <f>W6*0.1*input_tables!I6</f>
        <v>21084211.210593626</v>
      </c>
      <c r="U6" s="10">
        <f>W6*0.1*input_tables!J6</f>
        <v>21084211.210593626</v>
      </c>
      <c r="V6" s="10">
        <f>W6*0.1*input_tables!K6</f>
        <v>21084211.210593626</v>
      </c>
      <c r="W6" s="15">
        <f>input_variables!$B$6*(1+input_variables!$B$4)^model!A6</f>
        <v>273732050.7704463</v>
      </c>
    </row>
    <row r="7" spans="1:23" x14ac:dyDescent="0.3">
      <c r="A7" s="6">
        <v>5</v>
      </c>
      <c r="B7" s="6">
        <v>2025</v>
      </c>
      <c r="C7" s="7">
        <f t="shared" si="0"/>
        <v>1089967359.9308949</v>
      </c>
      <c r="D7" s="7">
        <f>E7*input_variables!$B$14*0.00045*(1-input_variables!$B$15)^A7</f>
        <v>45527156.399056055</v>
      </c>
      <c r="E7" s="7">
        <f>F7*(1-H7)</f>
        <v>56927489771.499168</v>
      </c>
      <c r="F7" s="7">
        <f>G7*input_variables!$B$12*(1-input_variables!$B$13)^A7</f>
        <v>87580753494.61412</v>
      </c>
      <c r="G7" s="7">
        <f t="shared" si="2"/>
        <v>287345109809.89722</v>
      </c>
      <c r="H7" s="9">
        <f t="shared" si="4"/>
        <v>0.35000000000000009</v>
      </c>
      <c r="I7" s="7">
        <f t="shared" si="5"/>
        <v>84440224.313548833</v>
      </c>
      <c r="J7" s="7">
        <f>L7*input_variables!$B$9</f>
        <v>906667774.19954264</v>
      </c>
      <c r="K7" s="7">
        <f>L7*input_variables!$B$18</f>
        <v>137772429.33229616</v>
      </c>
      <c r="L7" s="7">
        <f t="shared" si="3"/>
        <v>102021804230.8476</v>
      </c>
      <c r="M7" s="10">
        <f>W7*0.1*input_tables!B7</f>
        <v>19120795.08122905</v>
      </c>
      <c r="N7" s="10">
        <f>W7*0.1*input_tables!C7</f>
        <v>19120795.08122905</v>
      </c>
      <c r="O7" s="10">
        <f>W7*0.1*input_tables!D7</f>
        <v>19120795.081229061</v>
      </c>
      <c r="P7" s="10">
        <f>W7*0.1*input_tables!E7</f>
        <v>19120795.081229061</v>
      </c>
      <c r="Q7" s="10">
        <f>W7*0.1*input_tables!F7</f>
        <v>19120795.081229061</v>
      </c>
      <c r="R7" s="10">
        <f>W7*0.1*input_tables!G7</f>
        <v>19120795.081229061</v>
      </c>
      <c r="S7" s="10">
        <f>W7*0.1*input_tables!H7</f>
        <v>19120795.081229061</v>
      </c>
      <c r="T7" s="10">
        <f>W7*0.1*input_tables!I7</f>
        <v>19120795.081229061</v>
      </c>
      <c r="U7" s="10">
        <f>W7*0.1*input_tables!J7</f>
        <v>19120795.081229061</v>
      </c>
      <c r="V7" s="10">
        <f>W7*0.1*input_tables!K7</f>
        <v>19120795.081229061</v>
      </c>
      <c r="W7" s="15">
        <f>input_variables!$B$6*(1+input_variables!$B$4)^model!A7</f>
        <v>275648175.12583941</v>
      </c>
    </row>
    <row r="8" spans="1:23" x14ac:dyDescent="0.3">
      <c r="A8" s="6">
        <v>6</v>
      </c>
      <c r="B8" s="6">
        <v>2026</v>
      </c>
      <c r="C8" s="7">
        <f t="shared" si="0"/>
        <v>993603529.94543815</v>
      </c>
      <c r="D8" s="7">
        <f>E8*input_variables!$B$14*0.00045*(1-input_variables!$B$15)^A8</f>
        <v>57969427.938790239</v>
      </c>
      <c r="E8" s="7">
        <f t="shared" si="1"/>
        <v>69033711641.494507</v>
      </c>
      <c r="F8" s="7">
        <f>G8*input_variables!$B$12*(1-input_variables!$B$13)^A8</f>
        <v>111344696195.95889</v>
      </c>
      <c r="G8" s="7">
        <f t="shared" si="2"/>
        <v>361695656973.20782</v>
      </c>
      <c r="H8" s="9">
        <f t="shared" si="4"/>
        <v>0.38000000000000012</v>
      </c>
      <c r="I8" s="7">
        <f t="shared" si="5"/>
        <v>106289132.35467958</v>
      </c>
      <c r="J8" s="7">
        <f>L8*input_variables!$B$9</f>
        <v>812214319.08015919</v>
      </c>
      <c r="K8" s="7">
        <f>L8*input_variables!$B$18</f>
        <v>123419782.92648874</v>
      </c>
      <c r="L8" s="7">
        <f t="shared" si="3"/>
        <v>91393532022.072586</v>
      </c>
      <c r="M8" s="10">
        <f>W8*0.1*input_tables!B8</f>
        <v>17128857.999704059</v>
      </c>
      <c r="N8" s="10">
        <f>W8*0.1*input_tables!C8</f>
        <v>17128857.999704059</v>
      </c>
      <c r="O8" s="10">
        <f>W8*0.1*input_tables!D8</f>
        <v>17128857.999704067</v>
      </c>
      <c r="P8" s="10">
        <f>W8*0.1*input_tables!E8</f>
        <v>17128857.999704067</v>
      </c>
      <c r="Q8" s="10">
        <f>W8*0.1*input_tables!F8</f>
        <v>17128857.999704067</v>
      </c>
      <c r="R8" s="10">
        <f>W8*0.1*input_tables!G8</f>
        <v>17128857.999704067</v>
      </c>
      <c r="S8" s="10">
        <f>W8*0.1*input_tables!H8</f>
        <v>17128857.999704067</v>
      </c>
      <c r="T8" s="10">
        <f>W8*0.1*input_tables!I8</f>
        <v>17128857.999704067</v>
      </c>
      <c r="U8" s="10">
        <f>W8*0.1*input_tables!J8</f>
        <v>17128857.999704067</v>
      </c>
      <c r="V8" s="10">
        <f>W8*0.1*input_tables!K8</f>
        <v>17128857.999704067</v>
      </c>
      <c r="W8" s="15">
        <f>input_variables!$B$6*(1+input_variables!$B$4)^model!A8</f>
        <v>277577712.35172021</v>
      </c>
    </row>
    <row r="9" spans="1:23" x14ac:dyDescent="0.3">
      <c r="A9" s="6">
        <v>7</v>
      </c>
      <c r="B9" s="6">
        <v>2027</v>
      </c>
      <c r="C9" s="7">
        <f t="shared" si="0"/>
        <v>895947239.71463549</v>
      </c>
      <c r="D9" s="7">
        <f>E9*input_variables!$B$14*0.00045*(1-input_variables!$B$15)^A9</f>
        <v>70693702.224504128</v>
      </c>
      <c r="E9" s="7">
        <f t="shared" si="1"/>
        <v>80177707913.29686</v>
      </c>
      <c r="F9" s="7">
        <f>G9*input_variables!$B$12*(1-input_variables!$B$13)^A9</f>
        <v>135894420192.02861</v>
      </c>
      <c r="G9" s="7">
        <f t="shared" si="2"/>
        <v>437073031886.42419</v>
      </c>
      <c r="H9" s="9">
        <f t="shared" si="4"/>
        <v>0.41000000000000014</v>
      </c>
      <c r="I9" s="7">
        <f t="shared" si="5"/>
        <v>128439787.53739473</v>
      </c>
      <c r="J9" s="7">
        <f>L9*input_variables!$B$9</f>
        <v>716394088.86816859</v>
      </c>
      <c r="K9" s="7">
        <f>L9*input_variables!$B$18</f>
        <v>108859448.62196276</v>
      </c>
      <c r="L9" s="7">
        <f t="shared" si="3"/>
        <v>80611464933.967422</v>
      </c>
      <c r="M9" s="10">
        <f>W9*0.1*input_tables!B9</f>
        <v>15108096.88007874</v>
      </c>
      <c r="N9" s="10">
        <f>W9*0.1*input_tables!C9</f>
        <v>15108096.88007874</v>
      </c>
      <c r="O9" s="10">
        <f>W9*0.1*input_tables!D9</f>
        <v>15108096.88007875</v>
      </c>
      <c r="P9" s="10">
        <f>W9*0.1*input_tables!E9</f>
        <v>15108096.88007875</v>
      </c>
      <c r="Q9" s="10">
        <f>W9*0.1*input_tables!F9</f>
        <v>15108096.88007875</v>
      </c>
      <c r="R9" s="10">
        <f>W9*0.1*input_tables!G9</f>
        <v>15108096.88007875</v>
      </c>
      <c r="S9" s="10">
        <f>W9*0.1*input_tables!H9</f>
        <v>15108096.88007875</v>
      </c>
      <c r="T9" s="10">
        <f>W9*0.1*input_tables!I9</f>
        <v>15108096.88007875</v>
      </c>
      <c r="U9" s="10">
        <f>W9*0.1*input_tables!J9</f>
        <v>15108096.88007875</v>
      </c>
      <c r="V9" s="10">
        <f>W9*0.1*input_tables!K9</f>
        <v>15108096.88007875</v>
      </c>
      <c r="W9" s="15">
        <f>input_variables!$B$6*(1+input_variables!$B$4)^model!A9</f>
        <v>279520756.33818221</v>
      </c>
    </row>
    <row r="10" spans="1:23" x14ac:dyDescent="0.3">
      <c r="A10" s="6">
        <v>8</v>
      </c>
      <c r="B10" s="6">
        <v>2028</v>
      </c>
      <c r="C10" s="7">
        <f t="shared" si="0"/>
        <v>796881297.97045803</v>
      </c>
      <c r="D10" s="7">
        <f>E10*input_variables!$B$14*0.00045*(1-input_variables!$B$15)^A10</f>
        <v>83599498.971072584</v>
      </c>
      <c r="E10" s="7">
        <f t="shared" si="1"/>
        <v>90299903457.208282</v>
      </c>
      <c r="F10" s="7">
        <f>G10*input_variables!$B$12*(1-input_variables!$B$13)^A10</f>
        <v>161249827602.15768</v>
      </c>
      <c r="G10" s="7">
        <f t="shared" si="2"/>
        <v>513487966961.23407</v>
      </c>
      <c r="H10" s="9">
        <f t="shared" si="4"/>
        <v>0.44000000000000017</v>
      </c>
      <c r="I10" s="7">
        <f t="shared" si="5"/>
        <v>150895343.72518262</v>
      </c>
      <c r="J10" s="7">
        <f>L10*input_variables!$B$9</f>
        <v>619192576.93157542</v>
      </c>
      <c r="K10" s="7">
        <f>L10*input_variables!$B$18</f>
        <v>94089222.067810044</v>
      </c>
      <c r="L10" s="7">
        <f t="shared" si="3"/>
        <v>69673970623.559738</v>
      </c>
      <c r="M10" s="10">
        <f>W10*0.1*input_tables!B10</f>
        <v>13058205.790736686</v>
      </c>
      <c r="N10" s="10">
        <f>W10*0.1*input_tables!C10</f>
        <v>13058205.790736686</v>
      </c>
      <c r="O10" s="10">
        <f>W10*0.1*input_tables!D10</f>
        <v>13058205.790736694</v>
      </c>
      <c r="P10" s="10">
        <f>W10*0.1*input_tables!E10</f>
        <v>13058205.790736694</v>
      </c>
      <c r="Q10" s="10">
        <f>W10*0.1*input_tables!F10</f>
        <v>13058205.790736694</v>
      </c>
      <c r="R10" s="10">
        <f>W10*0.1*input_tables!G10</f>
        <v>13058205.790736694</v>
      </c>
      <c r="S10" s="10">
        <f>W10*0.1*input_tables!H10</f>
        <v>13058205.790736694</v>
      </c>
      <c r="T10" s="10">
        <f>W10*0.1*input_tables!I10</f>
        <v>13058205.790736694</v>
      </c>
      <c r="U10" s="10">
        <f>W10*0.1*input_tables!J10</f>
        <v>13058205.790736694</v>
      </c>
      <c r="V10" s="10">
        <f>W10*0.1*input_tables!K10</f>
        <v>13058205.790736694</v>
      </c>
      <c r="W10" s="15">
        <f>input_variables!$B$6*(1+input_variables!$B$4)^model!A10</f>
        <v>281477401.63254952</v>
      </c>
    </row>
    <row r="11" spans="1:23" x14ac:dyDescent="0.3">
      <c r="A11" s="6">
        <v>9</v>
      </c>
      <c r="B11" s="6">
        <v>2029</v>
      </c>
      <c r="C11" s="7">
        <f t="shared" si="0"/>
        <v>696267877.63602412</v>
      </c>
      <c r="D11" s="7">
        <f>E11*input_variables!$B$14*0.00045*(1-input_variables!$B$15)^A11</f>
        <v>96565858.889592141</v>
      </c>
      <c r="E11" s="7">
        <f t="shared" si="1"/>
        <v>99338573650.792038</v>
      </c>
      <c r="F11" s="7">
        <f>G11*input_variables!$B$12*(1-input_variables!$B$13)^A11</f>
        <v>187431271039.23032</v>
      </c>
      <c r="G11" s="7">
        <f t="shared" si="2"/>
        <v>590951294548.52881</v>
      </c>
      <c r="H11" s="9">
        <f t="shared" si="4"/>
        <v>0.4700000000000002</v>
      </c>
      <c r="I11" s="7">
        <f t="shared" si="5"/>
        <v>173658984.15001011</v>
      </c>
      <c r="J11" s="7">
        <f>L11*input_variables!$B$9</f>
        <v>520595140.5175153</v>
      </c>
      <c r="K11" s="7">
        <f>L11*input_variables!$B$18</f>
        <v>79106878.22891669</v>
      </c>
      <c r="L11" s="7">
        <f t="shared" si="3"/>
        <v>58579401431.024559</v>
      </c>
      <c r="M11" s="10">
        <f>W11*0.1*input_tables!B11</f>
        <v>10978875.929396715</v>
      </c>
      <c r="N11" s="10">
        <f>W11*0.1*input_tables!C11</f>
        <v>10978875.929396715</v>
      </c>
      <c r="O11" s="10">
        <f>W11*0.1*input_tables!D11</f>
        <v>10978875.929396721</v>
      </c>
      <c r="P11" s="10">
        <f>W11*0.1*input_tables!E11</f>
        <v>10978875.929396721</v>
      </c>
      <c r="Q11" s="10">
        <f>W11*0.1*input_tables!F11</f>
        <v>10978875.929396721</v>
      </c>
      <c r="R11" s="10">
        <f>W11*0.1*input_tables!G11</f>
        <v>10978875.929396721</v>
      </c>
      <c r="S11" s="10">
        <f>W11*0.1*input_tables!H11</f>
        <v>10978875.929396721</v>
      </c>
      <c r="T11" s="10">
        <f>W11*0.1*input_tables!I11</f>
        <v>10978875.929396721</v>
      </c>
      <c r="U11" s="10">
        <f>W11*0.1*input_tables!J11</f>
        <v>10978875.929396721</v>
      </c>
      <c r="V11" s="10">
        <f>W11*0.1*input_tables!K11</f>
        <v>10978875.929396721</v>
      </c>
      <c r="W11" s="15">
        <f>input_variables!$B$6*(1+input_variables!$B$4)^model!A11</f>
        <v>283447743.4439773</v>
      </c>
    </row>
    <row r="12" spans="1:23" x14ac:dyDescent="0.3">
      <c r="A12" s="6">
        <v>10</v>
      </c>
      <c r="B12" s="6">
        <v>2030</v>
      </c>
      <c r="C12" s="7">
        <f t="shared" si="0"/>
        <v>593945820.53217721</v>
      </c>
      <c r="D12" s="7">
        <f>E12*input_variables!$B$14*0.00045*(1-input_variables!$B$15)^A12</f>
        <v>109448649.77039078</v>
      </c>
      <c r="E12" s="7">
        <f t="shared" si="1"/>
        <v>107229781595.17677</v>
      </c>
      <c r="F12" s="7">
        <f>G12*input_variables!$B$12*(1-input_variables!$B$13)^A12</f>
        <v>214459563190.35355</v>
      </c>
      <c r="G12" s="7">
        <f t="shared" si="2"/>
        <v>669473947811.66394</v>
      </c>
      <c r="H12" s="9">
        <f>input_variables!B17</f>
        <v>0.5</v>
      </c>
      <c r="I12" s="7">
        <f>W12-SUM(M12:V12)</f>
        <v>196733921.66894263</v>
      </c>
      <c r="J12" s="7">
        <f>L12*input_variables!$B$9</f>
        <v>420586999.5573889</v>
      </c>
      <c r="K12" s="7">
        <f>L12*input_variables!$B$18</f>
        <v>63910171.204397552</v>
      </c>
      <c r="L12" s="7">
        <f t="shared" si="3"/>
        <v>47326094245.23336</v>
      </c>
      <c r="M12" s="10">
        <f>W12*0.1*input_tables!B12</f>
        <v>8869795.5979142468</v>
      </c>
      <c r="N12" s="10">
        <f>W12*0.1*input_tables!C12</f>
        <v>8869795.5979142468</v>
      </c>
      <c r="O12" s="10">
        <f>W12*0.1*input_tables!D12</f>
        <v>8869795.5979142468</v>
      </c>
      <c r="P12" s="10">
        <f>W12*0.1*input_tables!E12</f>
        <v>8869795.5979142468</v>
      </c>
      <c r="Q12" s="10">
        <f>W12*0.1*input_tables!F12</f>
        <v>8869795.5979142468</v>
      </c>
      <c r="R12" s="10">
        <f>W12*0.1*input_tables!G12</f>
        <v>8869795.5979142468</v>
      </c>
      <c r="S12" s="10">
        <f>W12*0.1*input_tables!H12</f>
        <v>8869795.5979142468</v>
      </c>
      <c r="T12" s="10">
        <f>W12*0.1*input_tables!I12</f>
        <v>8869795.5979142468</v>
      </c>
      <c r="U12" s="10">
        <f>W12*0.1*input_tables!J12</f>
        <v>8869795.5979142468</v>
      </c>
      <c r="V12" s="10">
        <f>W12*0.1*input_tables!K12</f>
        <v>8869795.5979142468</v>
      </c>
      <c r="W12" s="15">
        <f>input_variables!$B$6*(1+input_variables!$B$4)^model!A12</f>
        <v>285431877.64808512</v>
      </c>
    </row>
    <row r="13" spans="1:23" x14ac:dyDescent="0.3">
      <c r="I13" s="4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3" x14ac:dyDescent="0.3">
      <c r="L14" s="98"/>
      <c r="M14" s="17" t="s">
        <v>152</v>
      </c>
      <c r="N14" s="6"/>
      <c r="O14" s="6"/>
      <c r="P14" s="6"/>
      <c r="Q14" s="6"/>
      <c r="R14" s="6"/>
      <c r="S14" s="6"/>
      <c r="T14" s="6"/>
      <c r="U14" s="6"/>
      <c r="V14" s="6"/>
    </row>
    <row r="15" spans="1:23" x14ac:dyDescent="0.3">
      <c r="M15" s="16">
        <f>M3*input_tables!$Q$12</f>
        <v>44345256916.832809</v>
      </c>
      <c r="N15" s="16">
        <f>N3*input_tables!$Q$11</f>
        <v>23576158436.942108</v>
      </c>
      <c r="O15" s="16">
        <f>O3*input_tables!$Q$10</f>
        <v>18316269158.934582</v>
      </c>
      <c r="P15" s="16">
        <f>P3*input_tables!$Q$9</f>
        <v>14950102755.162979</v>
      </c>
      <c r="Q15" s="16">
        <f>Q3*input_tables!$Q$8</f>
        <v>12333449106.793398</v>
      </c>
      <c r="R15" s="16">
        <f>R3*input_tables!$Q$7</f>
        <v>10096275721.681101</v>
      </c>
      <c r="S15" s="16">
        <f>S3*input_tables!$Q$6</f>
        <v>8043299778.3263378</v>
      </c>
      <c r="T15" s="16">
        <f>T3*input_tables!$Q$5</f>
        <v>6027272704.9504852</v>
      </c>
      <c r="U15" s="16">
        <f>U3*input_tables!$Q$4</f>
        <v>3910176661.2375946</v>
      </c>
      <c r="V15" s="16">
        <f>V3*input_tables!$Q$3</f>
        <v>1430801236.6856375</v>
      </c>
      <c r="W15" s="13"/>
    </row>
    <row r="16" spans="1:23" x14ac:dyDescent="0.3">
      <c r="M16" s="16">
        <f>M4*input_tables!$Q$12</f>
        <v>41235793369.891022</v>
      </c>
      <c r="N16" s="16">
        <f>N4*input_tables!$Q$11</f>
        <v>21923011960.102814</v>
      </c>
      <c r="O16" s="16">
        <f>O4*input_tables!$Q$10</f>
        <v>17031943050.000431</v>
      </c>
      <c r="P16" s="16">
        <f>P4*input_tables!$Q$9</f>
        <v>13901810270.864223</v>
      </c>
      <c r="Q16" s="16">
        <f>Q4*input_tables!$Q$8</f>
        <v>11468634849.937021</v>
      </c>
      <c r="R16" s="16">
        <f>R4*input_tables!$Q$7</f>
        <v>9388330757.5709915</v>
      </c>
      <c r="S16" s="16">
        <f>S4*input_tables!$Q$6</f>
        <v>7479308289.7949648</v>
      </c>
      <c r="T16" s="16">
        <f>T4*input_tables!$Q$5</f>
        <v>5604643858.788434</v>
      </c>
      <c r="U16" s="16">
        <f>U4*input_tables!$Q$4</f>
        <v>3635997354.6879997</v>
      </c>
      <c r="V16" s="16">
        <f>V4*input_tables!$Q$3</f>
        <v>1330474288.6032951</v>
      </c>
    </row>
    <row r="17" spans="9:22" x14ac:dyDescent="0.3">
      <c r="M17" s="16">
        <f>M5*input_tables!$Q$12</f>
        <v>38080624415.703117</v>
      </c>
      <c r="N17" s="16">
        <f>N5*input_tables!$Q$11</f>
        <v>20245566200.824352</v>
      </c>
      <c r="O17" s="16">
        <f>O5*input_tables!$Q$10</f>
        <v>15728738878.352409</v>
      </c>
      <c r="P17" s="16">
        <f>P5*input_tables!$Q$9</f>
        <v>12838109136.750278</v>
      </c>
      <c r="Q17" s="16">
        <f>Q5*input_tables!$Q$8</f>
        <v>10591108854.478422</v>
      </c>
      <c r="R17" s="16">
        <f>R5*input_tables!$Q$7</f>
        <v>8669979846.4529781</v>
      </c>
      <c r="S17" s="16">
        <f>S5*input_tables!$Q$6</f>
        <v>6907026798.735013</v>
      </c>
      <c r="T17" s="16">
        <f>T5*input_tables!$Q$5</f>
        <v>5175802872.4175711</v>
      </c>
      <c r="U17" s="16">
        <f>U5*input_tables!$Q$4</f>
        <v>3357787939.190309</v>
      </c>
      <c r="V17" s="16">
        <f>V5*input_tables!$Q$3</f>
        <v>1228672653.9872022</v>
      </c>
    </row>
    <row r="18" spans="9:22" x14ac:dyDescent="0.3">
      <c r="I18" s="2"/>
      <c r="M18" s="16">
        <f>M6*input_tables!$Q$12</f>
        <v>34879262542.281471</v>
      </c>
      <c r="N18" s="16">
        <f>N6*input_tables!$Q$11</f>
        <v>18543561973.32996</v>
      </c>
      <c r="O18" s="16">
        <f>O6*input_tables!$Q$10</f>
        <v>14406455283.091871</v>
      </c>
      <c r="P18" s="16">
        <f>P6*input_tables!$Q$9</f>
        <v>11758834998.055471</v>
      </c>
      <c r="Q18" s="16">
        <f>Q6*input_tables!$Q$8</f>
        <v>9700735531.9757595</v>
      </c>
      <c r="R18" s="16">
        <f>R6*input_tables!$Q$7</f>
        <v>7941111994.3721933</v>
      </c>
      <c r="S18" s="16">
        <f>S6*input_tables!$Q$6</f>
        <v>6326366880.694025</v>
      </c>
      <c r="T18" s="16">
        <f>T6*input_tables!$Q$5</f>
        <v>4740683484.6884375</v>
      </c>
      <c r="U18" s="16">
        <f>U6*input_tables!$Q$4</f>
        <v>3075505428.0052729</v>
      </c>
      <c r="V18" s="16">
        <f>V6*input_tables!$Q$3</f>
        <v>1125380603.2463429</v>
      </c>
    </row>
    <row r="19" spans="9:22" x14ac:dyDescent="0.3">
      <c r="M19" s="16">
        <f>M7*input_tables!$Q$12</f>
        <v>31631215652.035545</v>
      </c>
      <c r="N19" s="16">
        <f>N7*input_tables!$Q$11</f>
        <v>16816737653.906797</v>
      </c>
      <c r="O19" s="16">
        <f>O7*input_tables!$Q$10</f>
        <v>13064889009.292646</v>
      </c>
      <c r="P19" s="16">
        <f>P7*input_tables!$Q$9</f>
        <v>10663821954.071238</v>
      </c>
      <c r="Q19" s="16">
        <f>Q7*input_tables!$Q$8</f>
        <v>8797378018.6241894</v>
      </c>
      <c r="R19" s="16">
        <f>R7*input_tables!$Q$7</f>
        <v>7201615163.3498011</v>
      </c>
      <c r="S19" s="16">
        <f>S7*input_tables!$Q$6</f>
        <v>5737239279.4873247</v>
      </c>
      <c r="T19" s="16">
        <f>T7*input_tables!$Q$5</f>
        <v>4299218811.1903467</v>
      </c>
      <c r="U19" s="16">
        <f>U7*input_tables!$Q$4</f>
        <v>2789106430.054625</v>
      </c>
      <c r="V19" s="16">
        <f>V7*input_tables!$Q$3</f>
        <v>1020582258.8350661</v>
      </c>
    </row>
    <row r="20" spans="9:22" x14ac:dyDescent="0.3">
      <c r="M20" s="16">
        <f>M8*input_tables!$Q$12</f>
        <v>28335987021.461609</v>
      </c>
      <c r="N20" s="16">
        <f>N8*input_tables!$Q$11</f>
        <v>15064829159.475019</v>
      </c>
      <c r="O20" s="16">
        <f>O8*input_tables!$Q$10</f>
        <v>11703834891.351357</v>
      </c>
      <c r="P20" s="16">
        <f>P8*input_tables!$Q$9</f>
        <v>9552902544.5563145</v>
      </c>
      <c r="Q20" s="16">
        <f>Q8*input_tables!$Q$8</f>
        <v>7880898164.0446281</v>
      </c>
      <c r="R20" s="16">
        <f>R8*input_tables!$Q$7</f>
        <v>6451376262.2053699</v>
      </c>
      <c r="S20" s="16">
        <f>S8*input_tables!$Q$6</f>
        <v>5139553899.8865747</v>
      </c>
      <c r="T20" s="16">
        <f>T8*input_tables!$Q$5</f>
        <v>3851341338.7725325</v>
      </c>
      <c r="U20" s="16">
        <f>U8*input_tables!$Q$4</f>
        <v>2498547146.3666954</v>
      </c>
      <c r="V20" s="16">
        <f>V8*input_tables!$Q$3</f>
        <v>914261593.95247197</v>
      </c>
    </row>
    <row r="21" spans="9:22" x14ac:dyDescent="0.3">
      <c r="M21" s="16">
        <f>M9*input_tables!$Q$12</f>
        <v>24993075260.492687</v>
      </c>
      <c r="N21" s="16">
        <f>N9*input_tables!$Q$11</f>
        <v>13287569925.976156</v>
      </c>
      <c r="O21" s="16">
        <f>O9*input_tables!$Q$10</f>
        <v>10323085836.197439</v>
      </c>
      <c r="P21" s="16">
        <f>P9*input_tables!$Q$9</f>
        <v>8425907736.0324383</v>
      </c>
      <c r="Q21" s="16">
        <f>Q9*input_tables!$Q$8</f>
        <v>6951156519.9780436</v>
      </c>
      <c r="R21" s="16">
        <f>R9*input_tables!$Q$7</f>
        <v>5690281137.3019142</v>
      </c>
      <c r="S21" s="16">
        <f>S9*input_tables!$Q$6</f>
        <v>4533219800.2467222</v>
      </c>
      <c r="T21" s="16">
        <f>T9*input_tables!$Q$5</f>
        <v>3396982920.0191216</v>
      </c>
      <c r="U21" s="16">
        <f>U9*input_tables!$Q$4</f>
        <v>2203783366.492063</v>
      </c>
      <c r="V21" s="16">
        <f>V9*input_tables!$Q$3</f>
        <v>806402431.23083913</v>
      </c>
    </row>
    <row r="22" spans="9:22" x14ac:dyDescent="0.3">
      <c r="M22" s="16">
        <f>M10*input_tables!$Q$12</f>
        <v>21601974271.506161</v>
      </c>
      <c r="N22" s="16">
        <f>N10*input_tables!$Q$11</f>
        <v>11484690886.5795</v>
      </c>
      <c r="O22" s="16">
        <f>O10*input_tables!$Q$10</f>
        <v>8922432806.3616905</v>
      </c>
      <c r="P22" s="16">
        <f>P10*input_tables!$Q$9</f>
        <v>7282666907.9645443</v>
      </c>
      <c r="Q22" s="16">
        <f>Q10*input_tables!$Q$8</f>
        <v>6008012328.8844891</v>
      </c>
      <c r="R22" s="16">
        <f>R10*input_tables!$Q$7</f>
        <v>4918214563.2129631</v>
      </c>
      <c r="S22" s="16">
        <f>S10*input_tables!$Q$6</f>
        <v>3918145185.070817</v>
      </c>
      <c r="T22" s="16">
        <f>T10*input_tables!$Q$5</f>
        <v>2936074767.6775637</v>
      </c>
      <c r="U22" s="16">
        <f>U10*input_tables!$Q$4</f>
        <v>1904770464.8890142</v>
      </c>
      <c r="V22" s="16">
        <f>V10*input_tables!$Q$3</f>
        <v>696988441.41299975</v>
      </c>
    </row>
    <row r="23" spans="9:22" x14ac:dyDescent="0.3">
      <c r="M23" s="16">
        <f>M11*input_tables!$Q$12</f>
        <v>18162173207.98605</v>
      </c>
      <c r="N23" s="16">
        <f>N11*input_tables!$Q$11</f>
        <v>9655920449.7049141</v>
      </c>
      <c r="O23" s="16">
        <f>O11*input_tables!$Q$10</f>
        <v>7501664802.9022655</v>
      </c>
      <c r="P23" s="16">
        <f>P11*input_tables!$Q$9</f>
        <v>6123007838.8246326</v>
      </c>
      <c r="Q23" s="16">
        <f>Q11*input_tables!$Q$8</f>
        <v>5051323512.4461441</v>
      </c>
      <c r="R23" s="16">
        <f>R11*input_tables!$Q$7</f>
        <v>4135060233.3110371</v>
      </c>
      <c r="S23" s="16">
        <f>S11*input_tables!$Q$6</f>
        <v>3294237397.5122356</v>
      </c>
      <c r="T23" s="16">
        <f>T11*input_tables!$Q$5</f>
        <v>2468547449.0401416</v>
      </c>
      <c r="U23" s="16">
        <f>U11*input_tables!$Q$4</f>
        <v>1601463397.2785637</v>
      </c>
      <c r="V23" s="16">
        <f>V11*input_tables!$Q$3</f>
        <v>586003142.01858008</v>
      </c>
    </row>
    <row r="24" spans="9:22" x14ac:dyDescent="0.3">
      <c r="M24" s="16">
        <f>M12*input_tables!$Q$12</f>
        <v>14673156432.837366</v>
      </c>
      <c r="N24" s="16">
        <f>N12*input_tables!$Q$11</f>
        <v>7800984476.8606491</v>
      </c>
      <c r="O24" s="16">
        <f>O12*input_tables!$Q$10</f>
        <v>6060568848.1868992</v>
      </c>
      <c r="P24" s="16">
        <f>P12*input_tables!$Q$9</f>
        <v>4946756692.0382738</v>
      </c>
      <c r="Q24" s="16">
        <f>Q12*input_tables!$Q$8</f>
        <v>4080946659.9735489</v>
      </c>
      <c r="R24" s="16">
        <f>R12*input_tables!$Q$7</f>
        <v>3340700750.2768884</v>
      </c>
      <c r="S24" s="16">
        <f>S12*input_tables!$Q$6</f>
        <v>2661402911.8137674</v>
      </c>
      <c r="T24" s="16">
        <f>T12*input_tables!$Q$5</f>
        <v>1994330880.2781808</v>
      </c>
      <c r="U24" s="16">
        <f>U12*input_tables!$Q$4</f>
        <v>1293816696.9687881</v>
      </c>
      <c r="V24" s="16">
        <f>V12*input_tables!$Q$3</f>
        <v>473429895.99900955</v>
      </c>
    </row>
    <row r="25" spans="9:22" x14ac:dyDescent="0.3"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9:22" x14ac:dyDescent="0.3">
      <c r="M26" s="17" t="s">
        <v>153</v>
      </c>
      <c r="N26" s="6"/>
      <c r="O26" s="6"/>
      <c r="P26" s="6"/>
      <c r="Q26" s="6"/>
      <c r="R26" s="6"/>
      <c r="S26" s="6"/>
      <c r="T26" s="6"/>
      <c r="U26" s="6"/>
      <c r="V26" s="6"/>
    </row>
    <row r="27" spans="9:22" x14ac:dyDescent="0.3">
      <c r="M27" s="15">
        <f>(W3/10-M3)*input_tables!$O$12</f>
        <v>2.2611057717964172E-4</v>
      </c>
      <c r="N27" s="15">
        <f>(W3/10-N3)*input_tables!$Q$11</f>
        <v>6.5527850037344065E-6</v>
      </c>
      <c r="O27" s="15">
        <f>(W3/10-O3)*input_tables!$Q$10</f>
        <v>0</v>
      </c>
      <c r="P27" s="15">
        <f>(W3/10-P3)*input_tables!$Q$9</f>
        <v>0</v>
      </c>
      <c r="Q27" s="15">
        <f>(W3/10-Q3)*input_tables!$Q$8</f>
        <v>0</v>
      </c>
      <c r="R27" s="15">
        <f>(W3/10-R3)*input_tables!$Q$7</f>
        <v>0</v>
      </c>
      <c r="S27" s="15">
        <f>(W3/10-S3)*input_tables!$Q$6</f>
        <v>0</v>
      </c>
      <c r="T27" s="15">
        <f>(W3/10-T3)*input_tables!$Q$5</f>
        <v>0</v>
      </c>
      <c r="U27" s="15">
        <f>(W3/10-U3)*input_tables!$Q$4</f>
        <v>0</v>
      </c>
      <c r="V27" s="15">
        <f>(W3/10-V3)*input_tables!$Q$3</f>
        <v>0</v>
      </c>
    </row>
    <row r="28" spans="9:22" x14ac:dyDescent="0.3">
      <c r="M28" s="15">
        <f>(W4/10-M4)*input_tables!$O$12</f>
        <v>62738154135.886391</v>
      </c>
      <c r="N28" s="15">
        <f>(W4/10-N4)*input_tables!$Q$11</f>
        <v>1818179585.8978908</v>
      </c>
      <c r="O28" s="15">
        <f>(W4/10-O4)*input_tables!$Q$10</f>
        <v>1412539993.0466897</v>
      </c>
      <c r="P28" s="15">
        <f>(W4/10-P4)*input_tables!$Q$9</f>
        <v>1152943203.584893</v>
      </c>
      <c r="Q28" s="15">
        <f>(W4/10-Q4)*input_tables!$Q$8</f>
        <v>951148400.60392606</v>
      </c>
      <c r="R28" s="15">
        <f>(W4/10-R4)*input_tables!$Q$7</f>
        <v>778618894.16187406</v>
      </c>
      <c r="S28" s="15">
        <f>(W4/10-S4)*input_tables!$Q$6</f>
        <v>620294586.97965539</v>
      </c>
      <c r="T28" s="15">
        <f>(W4/10-T4)*input_tables!$Q$5</f>
        <v>464819755.09670264</v>
      </c>
      <c r="U28" s="15">
        <f>(W4/10-U4)*input_tables!$Q$4</f>
        <v>301550543.17825699</v>
      </c>
      <c r="V28" s="15">
        <f>(W4/10-V4)*input_tables!$Q$3</f>
        <v>110342556.73914142</v>
      </c>
    </row>
    <row r="29" spans="9:22" x14ac:dyDescent="0.3">
      <c r="M29" s="15">
        <f>(W5/10-M5)*input_tables!$O$12</f>
        <v>126354642429.67517</v>
      </c>
      <c r="N29" s="15">
        <f>(W5/10-N5)*input_tables!$Q$11</f>
        <v>3661813685.9983521</v>
      </c>
      <c r="O29" s="15">
        <f>(W5/10-O5)*input_tables!$Q$10</f>
        <v>2844855545.996038</v>
      </c>
      <c r="P29" s="15">
        <f>(W5/10-P5)*input_tables!$Q$9</f>
        <v>2322027612.0199785</v>
      </c>
      <c r="Q29" s="15">
        <f>(W5/10-Q5)*input_tables!$Q$8</f>
        <v>1915612878.8163104</v>
      </c>
      <c r="R29" s="15">
        <f>(W5/10-R5)*input_tables!$Q$7</f>
        <v>1568138452.8420172</v>
      </c>
      <c r="S29" s="15">
        <f>(W5/10-S5)*input_tables!$Q$6</f>
        <v>1249273298.1770279</v>
      </c>
      <c r="T29" s="15">
        <f>(W5/10-T5)*input_tables!$Q$5</f>
        <v>936146986.76476073</v>
      </c>
      <c r="U29" s="15">
        <f>(W5/10-U5)*input_tables!$Q$4</f>
        <v>607322793.96101069</v>
      </c>
      <c r="V29" s="15">
        <f>(W5/10-V5)*input_tables!$Q$3</f>
        <v>222229909.2726312</v>
      </c>
    </row>
    <row r="30" spans="9:22" x14ac:dyDescent="0.3">
      <c r="M30" s="15">
        <f>(W6/10-M6)*input_tables!$O$12</f>
        <v>190858687390.02417</v>
      </c>
      <c r="N30" s="15">
        <f>(W6/10-N6)*input_tables!$Q$11</f>
        <v>5531169572.7005043</v>
      </c>
      <c r="O30" s="15">
        <f>(W6/10-O6)*input_tables!$Q$10</f>
        <v>4297154302.2270136</v>
      </c>
      <c r="P30" s="15">
        <f>(W6/10-P6)*input_tables!$Q$9</f>
        <v>3507422707.9561758</v>
      </c>
      <c r="Q30" s="15">
        <f>(W6/10-Q6)*input_tables!$Q$8</f>
        <v>2893533253.4520354</v>
      </c>
      <c r="R30" s="15">
        <f>(W6/10-R6)*input_tables!$Q$7</f>
        <v>2368673133.0178657</v>
      </c>
      <c r="S30" s="15">
        <f>(W6/10-S6)*input_tables!$Q$6</f>
        <v>1887027316.8964</v>
      </c>
      <c r="T30" s="15">
        <f>(W6/10-T6)*input_tables!$Q$5</f>
        <v>1414050023.5081704</v>
      </c>
      <c r="U30" s="15">
        <f>(W6/10-U6)*input_tables!$Q$4</f>
        <v>917361080.27810621</v>
      </c>
      <c r="V30" s="15">
        <f>(W6/10-V6)*input_tables!$Q$3</f>
        <v>335678277.95630926</v>
      </c>
    </row>
    <row r="31" spans="9:22" x14ac:dyDescent="0.3">
      <c r="M31" s="15">
        <f>(W7/10-M7)*input_tables!$O$12</f>
        <v>256259597602.33917</v>
      </c>
      <c r="N31" s="15">
        <f>(W7/10-N7)*input_tables!$Q$11</f>
        <v>7426517012.945879</v>
      </c>
      <c r="O31" s="15">
        <f>(W7/10-O7)*input_tables!$Q$10</f>
        <v>5769645843.1234703</v>
      </c>
      <c r="P31" s="15">
        <f>(W7/10-P7)*input_tables!$Q$9</f>
        <v>4709299555.8824921</v>
      </c>
      <c r="Q31" s="15">
        <f>(W7/10-Q7)*input_tables!$Q$8</f>
        <v>3885050648.3016</v>
      </c>
      <c r="R31" s="15">
        <f>(W7/10-R7)*input_tables!$Q$7</f>
        <v>3180338459.9319882</v>
      </c>
      <c r="S31" s="15">
        <f>(W7/10-S7)*input_tables!$Q$6</f>
        <v>2533648677.4862332</v>
      </c>
      <c r="T31" s="15">
        <f>(W7/10-T7)*input_tables!$Q$5</f>
        <v>1898597831.563637</v>
      </c>
      <c r="U31" s="15">
        <f>(W7/10-U7)*input_tables!$Q$4</f>
        <v>1231710143.7867374</v>
      </c>
      <c r="V31" s="15">
        <f>(W7/10-V7)*input_tables!$Q$3</f>
        <v>450704034.53600466</v>
      </c>
    </row>
    <row r="32" spans="9:22" x14ac:dyDescent="0.3">
      <c r="M32" s="15">
        <f>(W8/10-M8)*input_tables!$O$12</f>
        <v>322566768481.94421</v>
      </c>
      <c r="N32" s="15">
        <f>(W8/10-N8)*input_tables!$Q$11</f>
        <v>9348128290.04562</v>
      </c>
      <c r="O32" s="15">
        <f>(W8/10-O8)*input_tables!$Q$10</f>
        <v>7262541705.0316687</v>
      </c>
      <c r="P32" s="15">
        <f>(W8/10-P8)*input_tables!$Q$9</f>
        <v>5927830815.9670868</v>
      </c>
      <c r="Q32" s="15">
        <f>(W8/10-Q8)*input_tables!$Q$8</f>
        <v>4890307503.5496387</v>
      </c>
      <c r="R32" s="15">
        <f>(W8/10-R8)*input_tables!$Q$7</f>
        <v>4003251036.4393897</v>
      </c>
      <c r="S32" s="15">
        <f>(W8/10-S8)*input_tables!$Q$6</f>
        <v>3189230272.7857962</v>
      </c>
      <c r="T32" s="15">
        <f>(W8/10-T8)*input_tables!$Q$5</f>
        <v>2389860020.4807281</v>
      </c>
      <c r="U32" s="15">
        <f>(W8/10-U8)*input_tables!$Q$4</f>
        <v>1550415143.4915557</v>
      </c>
      <c r="V32" s="15">
        <f>(W8/10-V8)*input_tables!$Q$3</f>
        <v>567323703.47219586</v>
      </c>
    </row>
    <row r="33" spans="13:22" x14ac:dyDescent="0.3">
      <c r="M33" s="15">
        <f>(W9/10-M9)*input_tables!$O$12</f>
        <v>389789683033.58118</v>
      </c>
      <c r="N33" s="15">
        <f>(W9/10-N9)*input_tables!$Q$11</f>
        <v>11296278225.691122</v>
      </c>
      <c r="O33" s="15">
        <f>(W9/10-O9)*input_tables!$Q$10</f>
        <v>8776055396.3602638</v>
      </c>
      <c r="P33" s="15">
        <f>(W9/10-P9)*input_tables!$Q$9</f>
        <v>7163190758.0146246</v>
      </c>
      <c r="Q33" s="15">
        <f>(W9/10-Q9)*input_tables!$Q$8</f>
        <v>5909447587.289381</v>
      </c>
      <c r="R33" s="15">
        <f>(W9/10-R9)*input_tables!$Q$7</f>
        <v>4837528552.4333563</v>
      </c>
      <c r="S33" s="15">
        <f>(W9/10-S9)*input_tables!$Q$6</f>
        <v>3853865861.6343536</v>
      </c>
      <c r="T33" s="15">
        <f>(W9/10-T9)*input_tables!$Q$5</f>
        <v>2887906848.7489104</v>
      </c>
      <c r="U33" s="15">
        <f>(W9/10-U9)*input_tables!$Q$4</f>
        <v>1873521659.3951948</v>
      </c>
      <c r="V33" s="15">
        <f>(W9/10-V9)*input_tables!$Q$3</f>
        <v>685553963.27580106</v>
      </c>
    </row>
    <row r="34" spans="13:22" x14ac:dyDescent="0.3">
      <c r="M34" s="15">
        <f>(W10/10-M10)*input_tables!$O$12</f>
        <v>457937912617.28571</v>
      </c>
      <c r="N34" s="15">
        <f>(W10/10-N10)*input_tables!$Q$11</f>
        <v>13271244202.149454</v>
      </c>
      <c r="O34" s="15">
        <f>(W10/10-O10)*input_tables!$Q$10</f>
        <v>10310402414.823919</v>
      </c>
      <c r="P34" s="15">
        <f>(W10/10-P10)*input_tables!$Q$9</f>
        <v>8415555275.5408506</v>
      </c>
      <c r="Q34" s="15">
        <f>(W10/10-Q10)*input_tables!$Q$8</f>
        <v>6942616007.13381</v>
      </c>
      <c r="R34" s="15">
        <f>(W10/10-R10)*input_tables!$Q$7</f>
        <v>5683289794.3504562</v>
      </c>
      <c r="S34" s="15">
        <f>(W10/10-S10)*input_tables!$Q$6</f>
        <v>4527650076.443428</v>
      </c>
      <c r="T34" s="15">
        <f>(W10/10-T10)*input_tables!$Q$5</f>
        <v>3392809229.4718461</v>
      </c>
      <c r="U34" s="15">
        <f>(W10/10-U10)*input_tables!$Q$4</f>
        <v>2201075696.1794553</v>
      </c>
      <c r="V34" s="15">
        <f>(W10/10-V10)*input_tables!$Q$3</f>
        <v>805411647.8551873</v>
      </c>
    </row>
    <row r="35" spans="13:22" x14ac:dyDescent="0.3">
      <c r="M35" s="15">
        <f>(W11/10-M11)*input_tables!$O$12</f>
        <v>527021117720.69312</v>
      </c>
      <c r="N35" s="15">
        <f>(W11/10-N11)*input_tables!$Q$11</f>
        <v>15273306184.645136</v>
      </c>
      <c r="O35" s="15">
        <f>(W11/10-O11)*input_tables!$Q$10</f>
        <v>11865800264.83164</v>
      </c>
      <c r="P35" s="15">
        <f>(W11/10-P11)*input_tables!$Q$9</f>
        <v>9685101899.9652977</v>
      </c>
      <c r="Q35" s="15">
        <f>(W11/10-Q11)*input_tables!$Q$8</f>
        <v>7989959221.9242802</v>
      </c>
      <c r="R35" s="15">
        <f>(W11/10-R11)*input_tables!$Q$7</f>
        <v>6540654654.7553244</v>
      </c>
      <c r="S35" s="15">
        <f>(W11/10-S11)*input_tables!$Q$6</f>
        <v>5210678430.8326073</v>
      </c>
      <c r="T35" s="15">
        <f>(W11/10-T11)*input_tables!$Q$5</f>
        <v>3904638736.0893126</v>
      </c>
      <c r="U35" s="15">
        <f>(W11/10-U11)*input_tables!$Q$4</f>
        <v>2533123686.9173846</v>
      </c>
      <c r="V35" s="15">
        <f>(W11/10-V11)*input_tables!$Q$3</f>
        <v>926913747.87448394</v>
      </c>
    </row>
    <row r="36" spans="13:22" x14ac:dyDescent="0.3">
      <c r="M36" s="15">
        <f>(W12/10-M12)*input_tables!$O$12</f>
        <v>597049048737.82983</v>
      </c>
      <c r="N36" s="15">
        <f>(W12/10-N12)*input_tables!$Q$11</f>
        <v>17302746743.929848</v>
      </c>
      <c r="O36" s="15">
        <f>(W12/10-O12)*input_tables!$Q$10</f>
        <v>13442468475.021139</v>
      </c>
      <c r="P36" s="15">
        <f>(W12/10-P12)*input_tables!$Q$9</f>
        <v>10972009814.923183</v>
      </c>
      <c r="Q36" s="15">
        <f>(W12/10-Q12)*input_tables!$Q$8</f>
        <v>9051625053.537466</v>
      </c>
      <c r="R36" s="15">
        <f>(W12/10-R12)*input_tables!$Q$7</f>
        <v>7409744142.0059357</v>
      </c>
      <c r="S36" s="15">
        <f>(W12/10-S12)*input_tables!$Q$6</f>
        <v>5903047327.3294878</v>
      </c>
      <c r="T36" s="15">
        <f>(W12/10-T12)*input_tables!$Q$5</f>
        <v>4423467608.1471786</v>
      </c>
      <c r="U36" s="15">
        <f>(W12/10-U12)*input_tables!$Q$4</f>
        <v>2869712496.8165307</v>
      </c>
      <c r="V36" s="15">
        <f>(W12/10-V12)*input_tables!$Q$3</f>
        <v>1050077412.1233056</v>
      </c>
    </row>
    <row r="37" spans="13:22" x14ac:dyDescent="0.3">
      <c r="M37" s="5"/>
      <c r="N37" s="5"/>
      <c r="O37" s="5"/>
      <c r="P37" s="5"/>
      <c r="Q37" s="5"/>
      <c r="R37" s="5"/>
      <c r="S37" s="5"/>
      <c r="T37" s="5"/>
      <c r="U37" s="5"/>
      <c r="V37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1D75-59A7-47D8-A570-EC931B500035}">
  <dimension ref="A1:N17"/>
  <sheetViews>
    <sheetView topLeftCell="A6" workbookViewId="0">
      <selection activeCell="N11" sqref="N11"/>
    </sheetView>
  </sheetViews>
  <sheetFormatPr defaultRowHeight="14.4" x14ac:dyDescent="0.3"/>
  <cols>
    <col min="1" max="1" width="11.33203125" customWidth="1"/>
    <col min="2" max="2" width="13" customWidth="1"/>
    <col min="3" max="3" width="7.44140625" customWidth="1"/>
    <col min="4" max="4" width="7.6640625" customWidth="1"/>
    <col min="5" max="5" width="10.109375" bestFit="1" customWidth="1"/>
    <col min="6" max="6" width="6.6640625" customWidth="1"/>
    <col min="7" max="7" width="7.109375" customWidth="1"/>
    <col min="8" max="8" width="7" customWidth="1"/>
    <col min="10" max="11" width="7.5546875" customWidth="1"/>
    <col min="12" max="12" width="7.33203125" customWidth="1"/>
    <col min="13" max="13" width="7" customWidth="1"/>
    <col min="14" max="14" width="33" customWidth="1"/>
  </cols>
  <sheetData>
    <row r="1" spans="1:14" ht="57" x14ac:dyDescent="0.3">
      <c r="A1" s="90" t="s">
        <v>94</v>
      </c>
      <c r="B1" s="91" t="s">
        <v>95</v>
      </c>
      <c r="C1" s="91" t="s">
        <v>96</v>
      </c>
      <c r="D1" s="91" t="s">
        <v>97</v>
      </c>
      <c r="E1" s="91" t="s">
        <v>98</v>
      </c>
      <c r="F1" s="91" t="s">
        <v>99</v>
      </c>
      <c r="G1" s="91" t="s">
        <v>100</v>
      </c>
      <c r="H1" s="91" t="s">
        <v>101</v>
      </c>
      <c r="I1" s="91" t="s">
        <v>102</v>
      </c>
      <c r="J1" s="91" t="s">
        <v>103</v>
      </c>
      <c r="K1" s="91" t="s">
        <v>104</v>
      </c>
      <c r="L1" s="91" t="s">
        <v>105</v>
      </c>
      <c r="M1" s="91" t="s">
        <v>106</v>
      </c>
      <c r="N1" t="s">
        <v>107</v>
      </c>
    </row>
    <row r="2" spans="1:14" ht="39.75" customHeight="1" x14ac:dyDescent="0.3">
      <c r="A2" s="92" t="s">
        <v>108</v>
      </c>
      <c r="B2" s="93" t="str">
        <f>[5]Sheet1!T2 &amp;" " &amp;[5]Sheet1!V2 &amp; ", " &amp; [5]Sheet1!Y2</f>
        <v>BMW X3, 2016</v>
      </c>
      <c r="C2" s="93">
        <f>[5]Sheet1!H2</f>
        <v>9086</v>
      </c>
      <c r="D2" s="95">
        <f>[5]Sheet1!L2</f>
        <v>453.52912259286899</v>
      </c>
      <c r="E2" s="95">
        <f>D2*10</f>
        <v>4535.2912259286895</v>
      </c>
      <c r="F2" s="95">
        <f>[5]Sheet1!AN2/12</f>
        <v>72.56780912265468</v>
      </c>
      <c r="G2" s="95">
        <f>C2*0.03/12</f>
        <v>22.715</v>
      </c>
      <c r="H2" s="93">
        <v>23000</v>
      </c>
      <c r="I2" s="93" t="s">
        <v>109</v>
      </c>
      <c r="J2" s="93">
        <v>50000</v>
      </c>
      <c r="K2" s="94">
        <f>J2-H2-E2</f>
        <v>22464.70877407131</v>
      </c>
      <c r="L2" s="97">
        <f>IF(K2&lt;0, 0,PMT(5%/12,72,K2))</f>
        <v>-361.79262206552431</v>
      </c>
      <c r="M2" s="97">
        <f>L2+F2+G2</f>
        <v>-266.50981294286964</v>
      </c>
    </row>
    <row r="3" spans="1:14" ht="39.75" customHeight="1" x14ac:dyDescent="0.3">
      <c r="A3" s="92" t="s">
        <v>110</v>
      </c>
      <c r="B3" s="93" t="str">
        <f>[5]Sheet1!T3 &amp;" " &amp;[5]Sheet1!V3 &amp; ", " &amp; [5]Sheet1!Y3</f>
        <v>Buick  Regal (FWD), 2004</v>
      </c>
      <c r="C3" s="93">
        <f>[5]Sheet1!H3</f>
        <v>15000</v>
      </c>
      <c r="D3" s="95">
        <f>[5]Sheet1!L3</f>
        <v>677.08023047211896</v>
      </c>
      <c r="E3" s="95">
        <f t="shared" ref="E3:E13" si="0">D3*10</f>
        <v>6770.80230472119</v>
      </c>
      <c r="F3" s="95">
        <f>[5]Sheet1!AN3/12</f>
        <v>104.95683961526834</v>
      </c>
      <c r="G3" s="95">
        <f t="shared" ref="G3:G13" si="1">C3*0.03/12</f>
        <v>37.5</v>
      </c>
      <c r="H3" s="93">
        <v>5000</v>
      </c>
      <c r="I3" s="93" t="s">
        <v>111</v>
      </c>
      <c r="J3" s="93">
        <v>39490</v>
      </c>
      <c r="K3" s="94">
        <f t="shared" ref="K3:K11" si="2">J3-H3-E3</f>
        <v>27719.19769527881</v>
      </c>
      <c r="L3" s="97">
        <f t="shared" ref="L3:L11" si="3">IF(K3&lt;0, 0,PMT(5%/12,72,K3))</f>
        <v>-446.415812311911</v>
      </c>
      <c r="M3" s="97">
        <f t="shared" ref="M3:M13" si="4">L3+F3+G3</f>
        <v>-303.95897269664266</v>
      </c>
    </row>
    <row r="4" spans="1:14" ht="39.75" customHeight="1" x14ac:dyDescent="0.3">
      <c r="A4" s="92" t="s">
        <v>112</v>
      </c>
      <c r="B4" s="93" t="str">
        <f>[5]Sheet1!T4 &amp;" " &amp;[5]Sheet1!V4 &amp; ", " &amp; [5]Sheet1!Y4</f>
        <v>Ford Taurus X, 2014</v>
      </c>
      <c r="C4" s="93">
        <f>[5]Sheet1!H4</f>
        <v>40000</v>
      </c>
      <c r="D4" s="95">
        <f>[5]Sheet1!L4</f>
        <v>1370.09035818083</v>
      </c>
      <c r="E4" s="95">
        <f t="shared" si="0"/>
        <v>13700.903581808299</v>
      </c>
      <c r="F4" s="95">
        <f>[5]Sheet1!AN4/12</f>
        <v>188.79654845404391</v>
      </c>
      <c r="G4" s="95">
        <f t="shared" si="1"/>
        <v>100</v>
      </c>
      <c r="H4" s="93">
        <v>15000</v>
      </c>
      <c r="I4" s="93" t="s">
        <v>111</v>
      </c>
      <c r="J4" s="93">
        <v>39490</v>
      </c>
      <c r="K4" s="94">
        <f t="shared" si="2"/>
        <v>10789.096418191701</v>
      </c>
      <c r="L4" s="97">
        <f t="shared" si="3"/>
        <v>-173.75767129287874</v>
      </c>
      <c r="M4" s="97">
        <f t="shared" si="4"/>
        <v>115.03887716116517</v>
      </c>
    </row>
    <row r="5" spans="1:14" ht="39.75" customHeight="1" x14ac:dyDescent="0.3">
      <c r="A5" s="92" t="s">
        <v>113</v>
      </c>
      <c r="B5" s="93" t="str">
        <f>[5]Sheet1!T5 &amp;" " &amp;[5]Sheet1!V5 &amp; ", " &amp; [5]Sheet1!Y5</f>
        <v>Hyundai Santa Fe, 2015</v>
      </c>
      <c r="C5" s="93">
        <f>[5]Sheet1!H5</f>
        <v>25000</v>
      </c>
      <c r="D5" s="95">
        <f>[5]Sheet1!L5</f>
        <v>1181.0332971902999</v>
      </c>
      <c r="E5" s="95">
        <f t="shared" si="0"/>
        <v>11810.332971902999</v>
      </c>
      <c r="F5" s="95">
        <f>[5]Sheet1!AN5/12</f>
        <v>167.68212334066394</v>
      </c>
      <c r="G5" s="95">
        <f t="shared" si="1"/>
        <v>62.5</v>
      </c>
      <c r="H5" s="93">
        <v>16000</v>
      </c>
      <c r="I5" s="93" t="s">
        <v>114</v>
      </c>
      <c r="J5" s="93">
        <v>37390</v>
      </c>
      <c r="K5" s="94">
        <f t="shared" si="2"/>
        <v>9579.6670280970011</v>
      </c>
      <c r="L5" s="97">
        <f t="shared" si="3"/>
        <v>-154.27989240662393</v>
      </c>
      <c r="M5" s="97">
        <f t="shared" si="4"/>
        <v>75.902230934040006</v>
      </c>
    </row>
    <row r="6" spans="1:14" ht="39.75" customHeight="1" x14ac:dyDescent="0.3">
      <c r="A6" s="92" t="s">
        <v>115</v>
      </c>
      <c r="B6" s="93" t="str">
        <f>[5]Sheet1!T6 &amp;" " &amp;[5]Sheet1!V6 &amp; ", " &amp; [5]Sheet1!Y6</f>
        <v>Chevrolet T-10 Pickup, 2000</v>
      </c>
      <c r="C6" s="93">
        <f>[5]Sheet1!H6</f>
        <v>5000</v>
      </c>
      <c r="D6" s="95">
        <f>[5]Sheet1!L6</f>
        <v>221.645898932699</v>
      </c>
      <c r="E6" s="95">
        <f t="shared" si="0"/>
        <v>2216.4589893269899</v>
      </c>
      <c r="F6" s="95">
        <f>[5]Sheet1!AN6/12</f>
        <v>32.540388537056856</v>
      </c>
      <c r="G6" s="95">
        <f t="shared" si="1"/>
        <v>12.5</v>
      </c>
      <c r="H6" s="95">
        <v>5000</v>
      </c>
      <c r="I6" s="95" t="s">
        <v>116</v>
      </c>
      <c r="J6" s="93">
        <v>39974</v>
      </c>
      <c r="K6" s="94">
        <f t="shared" si="2"/>
        <v>32757.541010673009</v>
      </c>
      <c r="L6" s="97">
        <f t="shared" si="3"/>
        <v>-527.55799213160606</v>
      </c>
      <c r="M6" s="97">
        <f t="shared" si="4"/>
        <v>-482.5176035945492</v>
      </c>
    </row>
    <row r="7" spans="1:14" ht="39.75" customHeight="1" x14ac:dyDescent="0.3">
      <c r="A7" s="92" t="s">
        <v>117</v>
      </c>
      <c r="B7" s="93" t="str">
        <f>[5]Sheet1!T7 &amp;" " &amp;[5]Sheet1!V7 &amp; ", " &amp; [5]Sheet1!Y7</f>
        <v>Toyota Highlander, 2005</v>
      </c>
      <c r="C7" s="93">
        <f>[5]Sheet1!H7</f>
        <v>10000</v>
      </c>
      <c r="D7" s="95">
        <f>[5]Sheet1!L7</f>
        <v>467.53035891408098</v>
      </c>
      <c r="E7" s="95">
        <f t="shared" si="0"/>
        <v>4675.3035891408099</v>
      </c>
      <c r="F7" s="95">
        <f>[5]Sheet1!AN7/12</f>
        <v>65.707495859050212</v>
      </c>
      <c r="G7" s="95">
        <f t="shared" si="1"/>
        <v>25</v>
      </c>
      <c r="H7" s="95">
        <v>9000</v>
      </c>
      <c r="I7" s="95" t="s">
        <v>109</v>
      </c>
      <c r="J7" s="93">
        <v>51990</v>
      </c>
      <c r="K7" s="94">
        <f t="shared" si="2"/>
        <v>38314.696410859193</v>
      </c>
      <c r="L7" s="97">
        <f t="shared" si="3"/>
        <v>-617.05560564082293</v>
      </c>
      <c r="M7" s="97">
        <f t="shared" si="4"/>
        <v>-526.34810978177268</v>
      </c>
    </row>
    <row r="8" spans="1:14" ht="39.75" customHeight="1" x14ac:dyDescent="0.3">
      <c r="A8" s="92" t="s">
        <v>110</v>
      </c>
      <c r="B8" s="93" t="str">
        <f>[5]Sheet1!T8 &amp;" " &amp;[5]Sheet1!V8 &amp; ", " &amp; [5]Sheet1!Y8</f>
        <v>Nissan Sentra, 2015</v>
      </c>
      <c r="C8" s="93">
        <f>[5]Sheet1!H8</f>
        <v>21000</v>
      </c>
      <c r="D8" s="95">
        <f>[5]Sheet1!L8</f>
        <v>616.64711147996104</v>
      </c>
      <c r="E8" s="95">
        <f t="shared" si="0"/>
        <v>6166.4711147996104</v>
      </c>
      <c r="F8" s="95">
        <f>[5]Sheet1!AN8/12</f>
        <v>85.255745433712079</v>
      </c>
      <c r="G8" s="95">
        <f t="shared" si="1"/>
        <v>52.5</v>
      </c>
      <c r="H8" s="95">
        <v>10000</v>
      </c>
      <c r="I8" s="95" t="s">
        <v>118</v>
      </c>
      <c r="J8" s="93">
        <v>36500</v>
      </c>
      <c r="K8" s="94">
        <f t="shared" si="2"/>
        <v>20333.528885200391</v>
      </c>
      <c r="L8" s="97">
        <f t="shared" si="3"/>
        <v>-327.47011346581968</v>
      </c>
      <c r="M8" s="97">
        <f t="shared" si="4"/>
        <v>-189.71436803210759</v>
      </c>
    </row>
    <row r="9" spans="1:14" ht="39.75" customHeight="1" x14ac:dyDescent="0.3">
      <c r="A9" s="92" t="s">
        <v>119</v>
      </c>
      <c r="B9" s="93" t="str">
        <f>[5]Sheet1!T9 &amp;" " &amp;[5]Sheet1!V9 &amp; ", " &amp; [5]Sheet1!Y9</f>
        <v>Lincoln MKX, 2013</v>
      </c>
      <c r="C9" s="93">
        <f>[5]Sheet1!H9</f>
        <v>6000</v>
      </c>
      <c r="D9" s="95">
        <f>[5]Sheet1!L9</f>
        <v>303.36419113554803</v>
      </c>
      <c r="E9" s="95">
        <f t="shared" si="0"/>
        <v>3033.6419113554803</v>
      </c>
      <c r="F9" s="95">
        <f>[5]Sheet1!AN9/12</f>
        <v>39.087633349506625</v>
      </c>
      <c r="G9" s="95">
        <f t="shared" si="1"/>
        <v>15</v>
      </c>
      <c r="H9" s="95">
        <v>15000</v>
      </c>
      <c r="I9" s="95" t="s">
        <v>109</v>
      </c>
      <c r="J9" s="93">
        <v>50000</v>
      </c>
      <c r="K9" s="94">
        <f t="shared" si="2"/>
        <v>31966.35808864452</v>
      </c>
      <c r="L9" s="97">
        <f t="shared" si="3"/>
        <v>-514.8160444494473</v>
      </c>
      <c r="M9" s="97">
        <f t="shared" si="4"/>
        <v>-460.72841109994067</v>
      </c>
    </row>
    <row r="10" spans="1:14" ht="39.75" customHeight="1" x14ac:dyDescent="0.3">
      <c r="A10" s="92" t="s">
        <v>120</v>
      </c>
      <c r="B10" s="93" t="str">
        <f>[5]Sheet1!T10 &amp;" " &amp;[5]Sheet1!V10 &amp; ", " &amp; [5]Sheet1!Y10</f>
        <v>Toyota Tacoma, 2010</v>
      </c>
      <c r="C10" s="93">
        <f>[5]Sheet1!H10</f>
        <v>45000</v>
      </c>
      <c r="D10" s="95">
        <f>[5]Sheet1!L10</f>
        <v>2335.0126876181598</v>
      </c>
      <c r="E10" s="95">
        <f t="shared" si="0"/>
        <v>23350.126876181599</v>
      </c>
      <c r="F10" s="95">
        <f>[5]Sheet1!AN10/12</f>
        <v>342.80905020094184</v>
      </c>
      <c r="G10" s="95">
        <f t="shared" si="1"/>
        <v>112.5</v>
      </c>
      <c r="H10" s="95">
        <v>18000</v>
      </c>
      <c r="I10" s="95" t="s">
        <v>116</v>
      </c>
      <c r="J10" s="93">
        <v>39974</v>
      </c>
      <c r="K10" s="94">
        <f t="shared" si="2"/>
        <v>-1376.1268761815991</v>
      </c>
      <c r="L10" s="97">
        <f>IF(K10&lt;0,0,PMT(5%/12,72,K10))</f>
        <v>0</v>
      </c>
      <c r="M10" s="97">
        <f t="shared" si="4"/>
        <v>455.30905020094184</v>
      </c>
    </row>
    <row r="11" spans="1:14" ht="39.75" customHeight="1" x14ac:dyDescent="0.3">
      <c r="A11" s="92" t="s">
        <v>121</v>
      </c>
      <c r="B11" s="93" t="str">
        <f>[5]Sheet1!T11 &amp;" " &amp;[5]Sheet1!V11 &amp; ", " &amp; [5]Sheet1!Y11</f>
        <v>Audi Q5, 2013</v>
      </c>
      <c r="C11" s="93">
        <f>[5]Sheet1!H11</f>
        <v>5000</v>
      </c>
      <c r="D11" s="95">
        <f>[5]Sheet1!L11</f>
        <v>217.32945009909599</v>
      </c>
      <c r="E11" s="95">
        <f t="shared" si="0"/>
        <v>2173.2945009909599</v>
      </c>
      <c r="F11" s="95">
        <f>[5]Sheet1!AN11/12</f>
        <v>39.697336985809102</v>
      </c>
      <c r="G11" s="95">
        <f t="shared" si="1"/>
        <v>12.5</v>
      </c>
      <c r="H11" s="95">
        <v>15000</v>
      </c>
      <c r="I11" s="95" t="s">
        <v>109</v>
      </c>
      <c r="J11" s="93">
        <v>51990</v>
      </c>
      <c r="K11" s="94">
        <f t="shared" si="2"/>
        <v>34816.70549900904</v>
      </c>
      <c r="L11" s="97">
        <f t="shared" si="3"/>
        <v>-560.72069755510893</v>
      </c>
      <c r="M11" s="97">
        <f t="shared" si="4"/>
        <v>-508.52336056929983</v>
      </c>
    </row>
    <row r="12" spans="1:14" ht="39.75" customHeight="1" x14ac:dyDescent="0.3">
      <c r="A12" s="92" t="s">
        <v>122</v>
      </c>
      <c r="B12" s="93" t="str">
        <f>[5]Sheet1!T14 &amp;" " &amp;[5]Sheet1!V14 &amp; ", " &amp; [5]Sheet1!Y14</f>
        <v>GMC Terrain, 2015</v>
      </c>
      <c r="C12" s="93">
        <f>[5]Sheet1!H14</f>
        <v>4500</v>
      </c>
      <c r="D12" s="95">
        <f>[5]Sheet1!L14</f>
        <v>203.27504720317</v>
      </c>
      <c r="E12" s="95">
        <f t="shared" si="0"/>
        <v>2032.7504720317002</v>
      </c>
      <c r="F12" s="95">
        <f>[5]Sheet1!AN14/12</f>
        <v>27.586117864196883</v>
      </c>
      <c r="G12" s="95">
        <f t="shared" si="1"/>
        <v>11.25</v>
      </c>
      <c r="H12" s="95">
        <v>16000</v>
      </c>
      <c r="I12" s="95" t="s">
        <v>114</v>
      </c>
      <c r="J12" s="93">
        <v>37390</v>
      </c>
      <c r="K12" s="94">
        <f t="shared" ref="K12:K13" si="5">J12-H12-E12</f>
        <v>19357.249527968299</v>
      </c>
      <c r="L12" s="97">
        <f t="shared" ref="L12:L13" si="6">IF(K12&lt;0, 0,PMT(5%/12,72,K12))</f>
        <v>-311.74720015883224</v>
      </c>
      <c r="M12" s="97">
        <f t="shared" si="4"/>
        <v>-272.91108229463538</v>
      </c>
    </row>
    <row r="13" spans="1:14" ht="39.75" customHeight="1" x14ac:dyDescent="0.3">
      <c r="A13" s="92" t="s">
        <v>123</v>
      </c>
      <c r="B13" s="93" t="str">
        <f>[5]Sheet1!T15 &amp;" " &amp;[5]Sheet1!V15 &amp; ", " &amp; [5]Sheet1!Y15</f>
        <v>Nissan Rogue, 2011</v>
      </c>
      <c r="C13" s="93">
        <f>[5]Sheet1!H15</f>
        <v>6000</v>
      </c>
      <c r="D13" s="95">
        <f>[5]Sheet1!L15</f>
        <v>258.937598212164</v>
      </c>
      <c r="E13" s="95">
        <f t="shared" si="0"/>
        <v>2589.3759821216399</v>
      </c>
      <c r="F13" s="95">
        <f>[5]Sheet1!AN15/12</f>
        <v>38.178910314171254</v>
      </c>
      <c r="G13" s="95">
        <f t="shared" si="1"/>
        <v>15</v>
      </c>
      <c r="H13" s="95">
        <v>8000</v>
      </c>
      <c r="I13" s="95" t="s">
        <v>124</v>
      </c>
      <c r="J13" s="93">
        <v>37390</v>
      </c>
      <c r="K13" s="94">
        <f t="shared" si="5"/>
        <v>26800.624017878359</v>
      </c>
      <c r="L13" s="97">
        <f t="shared" si="6"/>
        <v>-431.62224509279542</v>
      </c>
      <c r="M13" s="97">
        <f t="shared" si="4"/>
        <v>-378.44333477862415</v>
      </c>
    </row>
    <row r="14" spans="1:14" ht="39.75" customHeight="1" x14ac:dyDescent="0.3">
      <c r="A14" s="92"/>
      <c r="B14" s="93"/>
      <c r="C14" s="93"/>
      <c r="D14" s="95"/>
      <c r="E14" s="95"/>
      <c r="F14" s="95"/>
      <c r="G14" s="95"/>
      <c r="H14" s="95"/>
      <c r="I14" s="95"/>
      <c r="J14" s="93"/>
      <c r="K14" s="94"/>
      <c r="L14" s="96"/>
      <c r="M14" s="96"/>
    </row>
    <row r="15" spans="1:14" x14ac:dyDescent="0.3">
      <c r="A15" t="s">
        <v>125</v>
      </c>
    </row>
    <row r="16" spans="1:14" x14ac:dyDescent="0.3">
      <c r="A16" t="s">
        <v>126</v>
      </c>
    </row>
    <row r="17" spans="1:1" x14ac:dyDescent="0.3">
      <c r="A17" t="s">
        <v>127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7AE8-4B7D-4D78-AAC0-FCFE80AB3842}">
  <dimension ref="A1:D10"/>
  <sheetViews>
    <sheetView zoomScale="68" workbookViewId="0">
      <selection activeCell="C19" sqref="C19"/>
    </sheetView>
  </sheetViews>
  <sheetFormatPr defaultRowHeight="14.4" x14ac:dyDescent="0.3"/>
  <cols>
    <col min="2" max="2" width="51" bestFit="1" customWidth="1"/>
    <col min="3" max="3" width="15.6640625" bestFit="1" customWidth="1"/>
    <col min="4" max="4" width="29" bestFit="1" customWidth="1"/>
  </cols>
  <sheetData>
    <row r="1" spans="1:4" x14ac:dyDescent="0.3">
      <c r="B1" s="18" t="s">
        <v>154</v>
      </c>
      <c r="C1" s="18" t="s">
        <v>155</v>
      </c>
      <c r="D1" s="18" t="s">
        <v>156</v>
      </c>
    </row>
    <row r="2" spans="1:4" x14ac:dyDescent="0.3">
      <c r="A2">
        <v>1</v>
      </c>
      <c r="B2" t="s">
        <v>157</v>
      </c>
      <c r="C2" s="18"/>
      <c r="D2" s="18"/>
    </row>
    <row r="3" spans="1:4" x14ac:dyDescent="0.3">
      <c r="A3">
        <v>2</v>
      </c>
      <c r="B3" t="s">
        <v>158</v>
      </c>
      <c r="C3" t="s">
        <v>159</v>
      </c>
    </row>
    <row r="4" spans="1:4" x14ac:dyDescent="0.3">
      <c r="A4">
        <v>3</v>
      </c>
      <c r="B4" t="s">
        <v>160</v>
      </c>
      <c r="C4" t="s">
        <v>161</v>
      </c>
    </row>
    <row r="5" spans="1:4" x14ac:dyDescent="0.3">
      <c r="A5">
        <v>4</v>
      </c>
      <c r="B5" t="s">
        <v>162</v>
      </c>
    </row>
    <row r="6" spans="1:4" x14ac:dyDescent="0.3">
      <c r="A6">
        <v>5</v>
      </c>
      <c r="B6" t="s">
        <v>163</v>
      </c>
    </row>
    <row r="7" spans="1:4" x14ac:dyDescent="0.3">
      <c r="A7">
        <v>6</v>
      </c>
      <c r="B7" t="s">
        <v>164</v>
      </c>
    </row>
    <row r="8" spans="1:4" x14ac:dyDescent="0.3">
      <c r="A8">
        <v>7</v>
      </c>
      <c r="B8" t="s">
        <v>165</v>
      </c>
      <c r="D8" t="s">
        <v>166</v>
      </c>
    </row>
    <row r="9" spans="1:4" x14ac:dyDescent="0.3">
      <c r="A9">
        <v>8</v>
      </c>
      <c r="B9" t="s">
        <v>167</v>
      </c>
    </row>
    <row r="10" spans="1:4" x14ac:dyDescent="0.3">
      <c r="A10">
        <v>9</v>
      </c>
      <c r="B10" t="s">
        <v>168</v>
      </c>
      <c r="C10" t="s">
        <v>169</v>
      </c>
      <c r="D10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preliminary_scenario_analysis</vt:lpstr>
      <vt:lpstr>input_tables</vt:lpstr>
      <vt:lpstr>input_variables</vt:lpstr>
      <vt:lpstr>outcome_graphs</vt:lpstr>
      <vt:lpstr>financials</vt:lpstr>
      <vt:lpstr>model</vt:lpstr>
      <vt:lpstr>examples</vt:lpstr>
      <vt:lpstr>assumptions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 Envy</dc:creator>
  <cp:keywords/>
  <dc:description/>
  <cp:lastModifiedBy>HP Envy</cp:lastModifiedBy>
  <cp:revision/>
  <dcterms:created xsi:type="dcterms:W3CDTF">2021-05-09T21:41:33Z</dcterms:created>
  <dcterms:modified xsi:type="dcterms:W3CDTF">2021-06-10T00:02:33Z</dcterms:modified>
  <cp:category/>
  <cp:contentStatus/>
</cp:coreProperties>
</file>