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HP Envy\Dropbox\EV_Model\2_Model\"/>
    </mc:Choice>
  </mc:AlternateContent>
  <xr:revisionPtr revIDLastSave="0" documentId="13_ncr:1_{4432F238-A17A-4E09-A058-360E3D0C4E55}" xr6:coauthVersionLast="47" xr6:coauthVersionMax="47" xr10:uidLastSave="{00000000-0000-0000-0000-000000000000}"/>
  <bookViews>
    <workbookView xWindow="-108" yWindow="-108" windowWidth="23256" windowHeight="12576" firstSheet="1" activeTab="1" xr2:uid="{91F44F9F-F713-4318-8CEF-D9ADF472D081}"/>
  </bookViews>
  <sheets>
    <sheet name="Method" sheetId="4" r:id="rId1"/>
    <sheet name="Input_values" sheetId="1" r:id="rId2"/>
    <sheet name="Test_data" sheetId="12" r:id="rId3"/>
    <sheet name="Base_case" sheetId="2" r:id="rId4"/>
    <sheet name="2030" sheetId="6" r:id="rId5"/>
    <sheet name="2035" sheetId="8" r:id="rId6"/>
    <sheet name="Emission differences" sheetId="9" r:id="rId7"/>
    <sheet name="Graphs" sheetId="7" r:id="rId8"/>
    <sheet name="model_energy_weight_us_ca" sheetId="10"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8" l="1"/>
  <c r="I3" i="6"/>
  <c r="J3" i="2"/>
  <c r="J11" i="10" l="1"/>
  <c r="I44" i="10"/>
  <c r="H44" i="10"/>
  <c r="G44" i="10"/>
  <c r="J44" i="10" s="1"/>
  <c r="I43" i="10"/>
  <c r="H43" i="10"/>
  <c r="G43" i="10"/>
  <c r="J43" i="10" s="1"/>
  <c r="I42" i="10"/>
  <c r="H42" i="10"/>
  <c r="G42" i="10"/>
  <c r="J42" i="10" s="1"/>
  <c r="I41" i="10"/>
  <c r="H41" i="10"/>
  <c r="G41" i="10"/>
  <c r="J41" i="10" s="1"/>
  <c r="I40" i="10"/>
  <c r="H40" i="10"/>
  <c r="G40" i="10"/>
  <c r="J40" i="10" s="1"/>
  <c r="I39" i="10"/>
  <c r="H39" i="10"/>
  <c r="G39" i="10"/>
  <c r="J39" i="10" s="1"/>
  <c r="I38" i="10"/>
  <c r="H38" i="10"/>
  <c r="G38" i="10"/>
  <c r="J38" i="10" s="1"/>
  <c r="I37" i="10"/>
  <c r="H37" i="10"/>
  <c r="G37" i="10"/>
  <c r="J37" i="10" s="1"/>
  <c r="I36" i="10"/>
  <c r="H36" i="10"/>
  <c r="G36" i="10"/>
  <c r="J36" i="10" s="1"/>
  <c r="I35" i="10"/>
  <c r="H35" i="10"/>
  <c r="G35" i="10"/>
  <c r="J35" i="10" s="1"/>
  <c r="I34" i="10"/>
  <c r="H34" i="10"/>
  <c r="G34" i="10"/>
  <c r="J34" i="10" s="1"/>
  <c r="I33" i="10"/>
  <c r="H33" i="10"/>
  <c r="G33" i="10"/>
  <c r="J33" i="10" s="1"/>
  <c r="I32" i="10"/>
  <c r="H32" i="10"/>
  <c r="G32" i="10"/>
  <c r="J32" i="10" s="1"/>
  <c r="I31" i="10"/>
  <c r="H31" i="10"/>
  <c r="G31" i="10"/>
  <c r="J31" i="10" s="1"/>
  <c r="I30" i="10"/>
  <c r="H30" i="10"/>
  <c r="G30" i="10"/>
  <c r="J30" i="10" s="1"/>
  <c r="I29" i="10"/>
  <c r="H29" i="10"/>
  <c r="G29" i="10"/>
  <c r="J29" i="10" s="1"/>
  <c r="I28" i="10"/>
  <c r="H28" i="10"/>
  <c r="G28" i="10"/>
  <c r="J28" i="10" s="1"/>
  <c r="I27" i="10"/>
  <c r="H27" i="10"/>
  <c r="G27" i="10"/>
  <c r="J27" i="10" s="1"/>
  <c r="I26" i="10"/>
  <c r="H26" i="10"/>
  <c r="G26" i="10"/>
  <c r="J26" i="10" s="1"/>
  <c r="I25" i="10"/>
  <c r="H25" i="10"/>
  <c r="G25" i="10"/>
  <c r="J25" i="10" s="1"/>
  <c r="I24" i="10"/>
  <c r="H24" i="10"/>
  <c r="G24" i="10"/>
  <c r="J24" i="10" s="1"/>
  <c r="I23" i="10"/>
  <c r="H23" i="10"/>
  <c r="G23" i="10"/>
  <c r="J23" i="10" s="1"/>
  <c r="I22" i="10"/>
  <c r="H22" i="10"/>
  <c r="G22" i="10"/>
  <c r="J22" i="10" s="1"/>
  <c r="I21" i="10"/>
  <c r="H21" i="10"/>
  <c r="G21" i="10"/>
  <c r="J21" i="10" s="1"/>
  <c r="I20" i="10"/>
  <c r="H20" i="10"/>
  <c r="G20" i="10"/>
  <c r="J20" i="10" s="1"/>
  <c r="I19" i="10"/>
  <c r="H19" i="10"/>
  <c r="G19" i="10"/>
  <c r="J19" i="10" s="1"/>
  <c r="I18" i="10"/>
  <c r="H18" i="10"/>
  <c r="G18" i="10"/>
  <c r="J18" i="10" s="1"/>
  <c r="I17" i="10"/>
  <c r="H17" i="10"/>
  <c r="G17" i="10"/>
  <c r="J17" i="10" s="1"/>
  <c r="I16" i="10"/>
  <c r="H16" i="10"/>
  <c r="G16" i="10"/>
  <c r="J16" i="10" s="1"/>
  <c r="I15" i="10"/>
  <c r="H15" i="10"/>
  <c r="G15" i="10"/>
  <c r="J15" i="10" s="1"/>
  <c r="I14" i="10"/>
  <c r="H14" i="10"/>
  <c r="G14" i="10"/>
  <c r="J14" i="10" s="1"/>
  <c r="I13" i="10"/>
  <c r="H13" i="10"/>
  <c r="G13" i="10"/>
  <c r="J13" i="10" s="1"/>
  <c r="I12" i="10"/>
  <c r="H12" i="10"/>
  <c r="G12" i="10"/>
  <c r="J12" i="10" s="1"/>
  <c r="I11" i="10"/>
  <c r="H11" i="10"/>
  <c r="G11" i="10"/>
  <c r="J10" i="10"/>
  <c r="I10" i="10"/>
  <c r="H10" i="10"/>
  <c r="G10" i="10"/>
  <c r="I9" i="10"/>
  <c r="H9" i="10"/>
  <c r="G9" i="10"/>
  <c r="J9" i="10" s="1"/>
  <c r="J8" i="10"/>
  <c r="I8" i="10"/>
  <c r="H8" i="10"/>
  <c r="G8" i="10"/>
  <c r="I7" i="10"/>
  <c r="H7" i="10"/>
  <c r="G7" i="10"/>
  <c r="J7" i="10" s="1"/>
  <c r="J6" i="10"/>
  <c r="I6" i="10"/>
  <c r="H6" i="10"/>
  <c r="G6" i="10"/>
  <c r="I5" i="10"/>
  <c r="H5" i="10"/>
  <c r="G5" i="10"/>
  <c r="J5" i="10" s="1"/>
  <c r="J4" i="10"/>
  <c r="I4" i="10"/>
  <c r="H4" i="10"/>
  <c r="G4" i="10"/>
  <c r="E12" i="6" l="1"/>
  <c r="E11" i="6"/>
  <c r="E10" i="6"/>
  <c r="E9" i="6"/>
  <c r="E8" i="6"/>
  <c r="E17" i="8"/>
  <c r="E16" i="8"/>
  <c r="E15" i="8"/>
  <c r="E14" i="8"/>
  <c r="E13" i="8"/>
  <c r="G14" i="1"/>
  <c r="B9" i="1"/>
  <c r="B7" i="1" s="1"/>
  <c r="B10" i="1"/>
  <c r="G15" i="1" s="1"/>
  <c r="G16" i="1" s="1"/>
  <c r="Z11" i="2" l="1"/>
  <c r="Z15" i="2"/>
  <c r="Z31" i="2"/>
  <c r="Y10" i="2"/>
  <c r="Y26" i="2"/>
  <c r="Y16" i="2"/>
  <c r="Z3" i="2"/>
  <c r="Z7" i="2"/>
  <c r="Y33" i="2"/>
  <c r="Y9" i="2"/>
  <c r="Z16" i="2"/>
  <c r="Z32" i="2"/>
  <c r="Y15" i="2"/>
  <c r="Y30" i="2"/>
  <c r="Z17" i="2"/>
  <c r="Z33" i="2"/>
  <c r="Y31" i="2"/>
  <c r="Y17" i="2"/>
  <c r="Z23" i="2"/>
  <c r="Y18" i="2"/>
  <c r="Z26" i="2"/>
  <c r="Z18" i="2"/>
  <c r="Y32" i="2"/>
  <c r="Z8" i="2"/>
  <c r="Z24" i="2"/>
  <c r="Y7" i="2"/>
  <c r="Y23" i="2"/>
  <c r="Y3" i="2"/>
  <c r="Z9" i="2"/>
  <c r="Z25" i="2"/>
  <c r="Y8" i="2"/>
  <c r="Y24" i="2"/>
  <c r="Z10" i="2"/>
  <c r="Y25" i="2"/>
  <c r="Z22" i="2"/>
  <c r="Z14" i="2"/>
  <c r="Z6" i="2"/>
  <c r="Y14" i="2"/>
  <c r="Z30" i="2"/>
  <c r="Y21" i="2"/>
  <c r="Y13" i="2"/>
  <c r="Y5" i="2"/>
  <c r="Z29" i="2"/>
  <c r="Z21" i="2"/>
  <c r="Z13" i="2"/>
  <c r="Z5" i="2"/>
  <c r="Y22" i="2"/>
  <c r="Y6" i="2"/>
  <c r="Y29" i="2"/>
  <c r="Y28" i="2"/>
  <c r="Y20" i="2"/>
  <c r="Y12" i="2"/>
  <c r="Y4" i="2"/>
  <c r="Z28" i="2"/>
  <c r="Z20" i="2"/>
  <c r="Z12" i="2"/>
  <c r="Z4" i="2"/>
  <c r="Y27" i="2"/>
  <c r="Y19" i="2"/>
  <c r="Y11" i="2"/>
  <c r="Z27" i="2"/>
  <c r="Z19" i="2"/>
  <c r="R21" i="12"/>
  <c r="R22" i="12"/>
  <c r="R23" i="12"/>
  <c r="R24" i="12"/>
  <c r="R25" i="12"/>
  <c r="R26" i="12"/>
  <c r="R27" i="12"/>
  <c r="R28" i="12"/>
  <c r="R29" i="12"/>
  <c r="R30" i="12"/>
  <c r="R31" i="12"/>
  <c r="R32" i="12"/>
  <c r="R33" i="12"/>
  <c r="G3" i="2"/>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4" i="12"/>
  <c r="R5" i="12"/>
  <c r="R6" i="12"/>
  <c r="R7" i="12"/>
  <c r="R8" i="12"/>
  <c r="R9" i="12"/>
  <c r="R10" i="12"/>
  <c r="R11" i="12"/>
  <c r="R12" i="12"/>
  <c r="R13" i="12"/>
  <c r="R14" i="12"/>
  <c r="R15" i="12"/>
  <c r="R16" i="12"/>
  <c r="R17" i="12"/>
  <c r="R18" i="12"/>
  <c r="R19" i="12"/>
  <c r="R20" i="12"/>
  <c r="R3" i="12"/>
  <c r="Q3" i="8"/>
  <c r="Q3" i="6"/>
  <c r="R3" i="2"/>
  <c r="I3" i="1" l="1"/>
  <c r="I4" i="1" s="1"/>
  <c r="I19" i="12"/>
  <c r="I18" i="12"/>
  <c r="I17" i="12"/>
  <c r="I16" i="12"/>
  <c r="I15" i="12"/>
  <c r="I14" i="12"/>
  <c r="I13" i="12"/>
  <c r="I12" i="12"/>
  <c r="I11" i="12"/>
  <c r="A5" i="12"/>
  <c r="A6" i="12" s="1"/>
  <c r="A7" i="12" s="1"/>
  <c r="A8" i="12" s="1"/>
  <c r="A9" i="12" s="1"/>
  <c r="A10" i="12" s="1"/>
  <c r="A11" i="12" s="1"/>
  <c r="A12" i="12" s="1"/>
  <c r="A13" i="12" s="1"/>
  <c r="A14" i="12" s="1"/>
  <c r="A15" i="12" s="1"/>
  <c r="C4" i="12"/>
  <c r="C5" i="12" s="1"/>
  <c r="C6" i="12" s="1"/>
  <c r="C7" i="12" s="1"/>
  <c r="C8" i="12" s="1"/>
  <c r="C9" i="12" s="1"/>
  <c r="C10" i="12" s="1"/>
  <c r="C11" i="12" s="1"/>
  <c r="C12" i="12" s="1"/>
  <c r="C13" i="12" s="1"/>
  <c r="C14" i="12" s="1"/>
  <c r="C15" i="12" s="1"/>
  <c r="C16" i="12" s="1"/>
  <c r="C17" i="12" s="1"/>
  <c r="C18" i="12" s="1"/>
  <c r="C19" i="12" s="1"/>
  <c r="C20" i="12" s="1"/>
  <c r="C21" i="12" s="1"/>
  <c r="C22" i="12" s="1"/>
  <c r="C23" i="12" s="1"/>
  <c r="C24" i="12" s="1"/>
  <c r="C25" i="12" s="1"/>
  <c r="C26" i="12" s="1"/>
  <c r="C27" i="12" s="1"/>
  <c r="C28" i="12" s="1"/>
  <c r="C29" i="12" s="1"/>
  <c r="C30" i="12" s="1"/>
  <c r="C31" i="12" s="1"/>
  <c r="C32" i="12" s="1"/>
  <c r="C33" i="12" s="1"/>
  <c r="F3" i="12"/>
  <c r="I20" i="12" s="1"/>
  <c r="D2" i="12"/>
  <c r="D3" i="12" s="1"/>
  <c r="G4" i="1"/>
  <c r="D7" i="12" l="1"/>
  <c r="G7" i="12" s="1"/>
  <c r="M7" i="12" s="1"/>
  <c r="D8" i="12"/>
  <c r="G8" i="12" s="1"/>
  <c r="J3" i="12"/>
  <c r="L3" i="12" s="1"/>
  <c r="N3" i="12" s="1"/>
  <c r="A16" i="12"/>
  <c r="D15" i="12"/>
  <c r="D13" i="12"/>
  <c r="D11" i="12"/>
  <c r="D9" i="12"/>
  <c r="D14" i="12"/>
  <c r="D12" i="12"/>
  <c r="D10" i="12"/>
  <c r="D6" i="12"/>
  <c r="D4" i="12"/>
  <c r="G3" i="12"/>
  <c r="D5" i="12"/>
  <c r="F7" i="12" l="1"/>
  <c r="I24" i="12" s="1"/>
  <c r="H7" i="12"/>
  <c r="O3" i="12"/>
  <c r="G6" i="12"/>
  <c r="G14" i="12"/>
  <c r="G10" i="12"/>
  <c r="G13" i="12"/>
  <c r="H8" i="12"/>
  <c r="F8" i="12"/>
  <c r="M8" i="12"/>
  <c r="G12" i="12"/>
  <c r="G5" i="12"/>
  <c r="E3" i="12"/>
  <c r="H3" i="12"/>
  <c r="G9" i="12"/>
  <c r="G11" i="12"/>
  <c r="G15" i="12"/>
  <c r="G4" i="12"/>
  <c r="A17" i="12"/>
  <c r="D16" i="12"/>
  <c r="D2" i="8"/>
  <c r="D2" i="6"/>
  <c r="H19" i="8"/>
  <c r="H18" i="8"/>
  <c r="H17" i="8"/>
  <c r="H16" i="8"/>
  <c r="H15" i="8"/>
  <c r="H14" i="8"/>
  <c r="H13" i="8"/>
  <c r="H12" i="8"/>
  <c r="H11" i="8"/>
  <c r="F3" i="8"/>
  <c r="H20" i="8" s="1"/>
  <c r="H19" i="6"/>
  <c r="H18" i="6"/>
  <c r="H17" i="6"/>
  <c r="H16" i="6"/>
  <c r="H15" i="6"/>
  <c r="H14" i="6"/>
  <c r="H13" i="6"/>
  <c r="H12" i="6"/>
  <c r="H11" i="6"/>
  <c r="F3" i="6"/>
  <c r="H20" i="6" s="1"/>
  <c r="I12" i="2"/>
  <c r="I13" i="2"/>
  <c r="I14" i="2"/>
  <c r="I15" i="2"/>
  <c r="I16" i="2"/>
  <c r="I17" i="2"/>
  <c r="I18" i="2"/>
  <c r="I19" i="2"/>
  <c r="I11" i="2"/>
  <c r="D2" i="2"/>
  <c r="E33" i="2"/>
  <c r="E24" i="2" s="1"/>
  <c r="E25" i="2" s="1"/>
  <c r="E26" i="2" s="1"/>
  <c r="E27" i="2" s="1"/>
  <c r="E28" i="2" s="1"/>
  <c r="E29" i="2" s="1"/>
  <c r="E30" i="2" s="1"/>
  <c r="E31" i="2" s="1"/>
  <c r="E32" i="2" s="1"/>
  <c r="M11" i="12" l="1"/>
  <c r="H11" i="12"/>
  <c r="F11" i="12"/>
  <c r="F4" i="12"/>
  <c r="M4" i="12"/>
  <c r="H4" i="12"/>
  <c r="M13" i="12"/>
  <c r="H13" i="12"/>
  <c r="F13" i="12"/>
  <c r="M5" i="12"/>
  <c r="F5" i="12"/>
  <c r="H5" i="12"/>
  <c r="A18" i="12"/>
  <c r="D17" i="12"/>
  <c r="H15" i="12"/>
  <c r="F15" i="12"/>
  <c r="M15" i="12"/>
  <c r="H12" i="12"/>
  <c r="F12" i="12"/>
  <c r="M12" i="12"/>
  <c r="H10" i="12"/>
  <c r="F10" i="12"/>
  <c r="M10" i="12"/>
  <c r="M9" i="12"/>
  <c r="H9" i="12"/>
  <c r="F9" i="12"/>
  <c r="H14" i="12"/>
  <c r="F14" i="12"/>
  <c r="M14" i="12"/>
  <c r="M3" i="12"/>
  <c r="K3" i="12"/>
  <c r="I25" i="12"/>
  <c r="G16" i="12"/>
  <c r="H6" i="12"/>
  <c r="F6" i="12"/>
  <c r="M6" i="12"/>
  <c r="K3" i="6"/>
  <c r="M3" i="6" s="1"/>
  <c r="D4" i="2"/>
  <c r="G4" i="2" s="1"/>
  <c r="H4" i="2" s="1"/>
  <c r="D3" i="2"/>
  <c r="D4" i="8"/>
  <c r="G4" i="8" s="1"/>
  <c r="D3" i="8"/>
  <c r="G3" i="8" s="1"/>
  <c r="D4" i="6"/>
  <c r="G4" i="6" s="1"/>
  <c r="D3" i="6"/>
  <c r="G3" i="6" s="1"/>
  <c r="F3" i="2"/>
  <c r="I31" i="12" l="1"/>
  <c r="F16" i="12"/>
  <c r="M16" i="12"/>
  <c r="H16" i="12"/>
  <c r="I29" i="12"/>
  <c r="I22" i="12"/>
  <c r="I26" i="12"/>
  <c r="I30" i="12"/>
  <c r="I32" i="12"/>
  <c r="I21" i="12"/>
  <c r="J4" i="12"/>
  <c r="I27" i="12"/>
  <c r="I28" i="12"/>
  <c r="G17" i="12"/>
  <c r="I23" i="12"/>
  <c r="A19" i="12"/>
  <c r="D18" i="12"/>
  <c r="E3" i="2"/>
  <c r="H3" i="2"/>
  <c r="N3" i="6"/>
  <c r="N3" i="8"/>
  <c r="F4" i="2"/>
  <c r="J4" i="2" s="1"/>
  <c r="O3" i="2"/>
  <c r="P3" i="2" s="1"/>
  <c r="I20" i="2"/>
  <c r="L4" i="8"/>
  <c r="K3" i="8"/>
  <c r="M3" i="8" s="1"/>
  <c r="F17" i="12" l="1"/>
  <c r="M17" i="12"/>
  <c r="H17" i="12"/>
  <c r="G18" i="12"/>
  <c r="A20" i="12"/>
  <c r="D19" i="12"/>
  <c r="I33" i="12"/>
  <c r="L4" i="12"/>
  <c r="N4" i="12" s="1"/>
  <c r="K4" i="12"/>
  <c r="O4" i="12"/>
  <c r="J5" i="12"/>
  <c r="K3" i="2"/>
  <c r="I21" i="2"/>
  <c r="F4" i="8"/>
  <c r="C27" i="1"/>
  <c r="C28" i="1"/>
  <c r="C29" i="1"/>
  <c r="C30" i="1"/>
  <c r="C31" i="1"/>
  <c r="C32" i="1"/>
  <c r="C33" i="1"/>
  <c r="C34" i="1"/>
  <c r="C26" i="1"/>
  <c r="G19" i="12" l="1"/>
  <c r="H18" i="12"/>
  <c r="F18" i="12"/>
  <c r="M18" i="12"/>
  <c r="A21" i="12"/>
  <c r="D20" i="12"/>
  <c r="L5" i="12"/>
  <c r="N5" i="12" s="1"/>
  <c r="K5" i="12"/>
  <c r="O5" i="12"/>
  <c r="J6" i="12"/>
  <c r="O4" i="2"/>
  <c r="K4" i="2"/>
  <c r="H21" i="8"/>
  <c r="I4" i="8"/>
  <c r="J4" i="8" s="1"/>
  <c r="G20" i="12" l="1"/>
  <c r="L6" i="12"/>
  <c r="N6" i="12" s="1"/>
  <c r="K6" i="12"/>
  <c r="J7" i="12"/>
  <c r="O6" i="12"/>
  <c r="A22" i="12"/>
  <c r="D21" i="12"/>
  <c r="M19" i="12"/>
  <c r="H19" i="12"/>
  <c r="F19" i="12"/>
  <c r="N4" i="8"/>
  <c r="K4" i="8"/>
  <c r="M4" i="8" s="1"/>
  <c r="B18" i="8"/>
  <c r="B19" i="8"/>
  <c r="B20" i="8"/>
  <c r="B21" i="8"/>
  <c r="B22" i="8"/>
  <c r="B23" i="8"/>
  <c r="B24" i="8"/>
  <c r="B25" i="8"/>
  <c r="B26" i="8"/>
  <c r="B27" i="8"/>
  <c r="B28" i="8"/>
  <c r="B29" i="8"/>
  <c r="B30" i="8"/>
  <c r="B31" i="8"/>
  <c r="B32" i="8"/>
  <c r="B33" i="8"/>
  <c r="B13" i="6"/>
  <c r="B14" i="6"/>
  <c r="B15" i="6"/>
  <c r="B16" i="6"/>
  <c r="B17" i="6"/>
  <c r="B18" i="6"/>
  <c r="B19" i="6"/>
  <c r="B20" i="6"/>
  <c r="B21" i="6"/>
  <c r="B22" i="6"/>
  <c r="B23" i="6"/>
  <c r="B24" i="6"/>
  <c r="B25" i="6"/>
  <c r="B26" i="6"/>
  <c r="B27" i="6"/>
  <c r="B28" i="6"/>
  <c r="B29" i="6"/>
  <c r="B30" i="6"/>
  <c r="B31" i="6"/>
  <c r="B32" i="6"/>
  <c r="B33" i="6"/>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B1" i="9"/>
  <c r="A5" i="8"/>
  <c r="D5" i="8" s="1"/>
  <c r="G5" i="8" s="1"/>
  <c r="C4" i="8"/>
  <c r="C5" i="8" s="1"/>
  <c r="C6" i="8" s="1"/>
  <c r="C7" i="8" s="1"/>
  <c r="C8" i="8" s="1"/>
  <c r="C9" i="8" s="1"/>
  <c r="C10" i="8" s="1"/>
  <c r="C11" i="8" s="1"/>
  <c r="C12" i="8" s="1"/>
  <c r="C13" i="8" s="1"/>
  <c r="C14" i="8" s="1"/>
  <c r="C15" i="8" s="1"/>
  <c r="C16" i="8" s="1"/>
  <c r="C17" i="8" s="1"/>
  <c r="C18" i="8" s="1"/>
  <c r="C19" i="8" s="1"/>
  <c r="C20" i="8" s="1"/>
  <c r="C21" i="8" s="1"/>
  <c r="C22" i="8" s="1"/>
  <c r="C23" i="8" s="1"/>
  <c r="C24" i="8" s="1"/>
  <c r="C25" i="8" s="1"/>
  <c r="C26" i="8" s="1"/>
  <c r="C27" i="8" s="1"/>
  <c r="C28" i="8" s="1"/>
  <c r="C29" i="8" s="1"/>
  <c r="C30" i="8" s="1"/>
  <c r="C31" i="8" s="1"/>
  <c r="C32" i="8" s="1"/>
  <c r="C33" i="8" s="1"/>
  <c r="A5" i="6"/>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A5" i="2"/>
  <c r="D5" i="2" s="1"/>
  <c r="G5" i="2" s="1"/>
  <c r="H5" i="2" s="1"/>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A23" i="12" l="1"/>
  <c r="D22" i="12"/>
  <c r="L7" i="12"/>
  <c r="N7" i="12" s="1"/>
  <c r="K7" i="12"/>
  <c r="O7" i="12"/>
  <c r="J8" i="12"/>
  <c r="H20" i="12"/>
  <c r="F20" i="12"/>
  <c r="M20" i="12"/>
  <c r="G21" i="12"/>
  <c r="L5" i="8"/>
  <c r="F5" i="8"/>
  <c r="A6" i="6"/>
  <c r="D5" i="6"/>
  <c r="G5" i="6" s="1"/>
  <c r="F5" i="6" s="1"/>
  <c r="L4" i="6"/>
  <c r="F4" i="6"/>
  <c r="A6" i="8"/>
  <c r="D6" i="8" s="1"/>
  <c r="G6" i="8" s="1"/>
  <c r="A6" i="2"/>
  <c r="D6" i="2" s="1"/>
  <c r="G6" i="2" s="1"/>
  <c r="H6" i="2" s="1"/>
  <c r="S7" i="12"/>
  <c r="T7" i="12" s="1"/>
  <c r="U7" i="12" s="1"/>
  <c r="V7" i="12" s="1"/>
  <c r="P7" i="12" l="1"/>
  <c r="Q7" i="12" s="1"/>
  <c r="W7" i="12" s="1"/>
  <c r="S3" i="12"/>
  <c r="T3" i="12" s="1"/>
  <c r="U3" i="12" s="1"/>
  <c r="V3" i="12" s="1"/>
  <c r="P3" i="12"/>
  <c r="Q3" i="12" s="1"/>
  <c r="S4" i="12"/>
  <c r="T4" i="12" s="1"/>
  <c r="U4" i="12" s="1"/>
  <c r="V4" i="12" s="1"/>
  <c r="P4" i="12"/>
  <c r="Q4" i="12" s="1"/>
  <c r="S5" i="12"/>
  <c r="T5" i="12" s="1"/>
  <c r="U5" i="12" s="1"/>
  <c r="V5" i="12" s="1"/>
  <c r="P5" i="12"/>
  <c r="Q5" i="12" s="1"/>
  <c r="S6" i="12"/>
  <c r="T6" i="12" s="1"/>
  <c r="U6" i="12" s="1"/>
  <c r="V6" i="12" s="1"/>
  <c r="P6" i="12"/>
  <c r="Q6" i="12" s="1"/>
  <c r="G22" i="12"/>
  <c r="A24" i="12"/>
  <c r="D23" i="12"/>
  <c r="L8" i="12"/>
  <c r="N8" i="12" s="1"/>
  <c r="K8" i="12"/>
  <c r="S8" i="12"/>
  <c r="T8" i="12" s="1"/>
  <c r="U8" i="12" s="1"/>
  <c r="V8" i="12" s="1"/>
  <c r="O8" i="12"/>
  <c r="P8" i="12" s="1"/>
  <c r="Q8" i="12" s="1"/>
  <c r="J9" i="12"/>
  <c r="M21" i="12"/>
  <c r="H21" i="12"/>
  <c r="F21" i="12"/>
  <c r="L5" i="6"/>
  <c r="L6" i="8"/>
  <c r="F6" i="8"/>
  <c r="H22" i="8"/>
  <c r="I5" i="8"/>
  <c r="J5" i="8" s="1"/>
  <c r="A7" i="6"/>
  <c r="D6" i="6"/>
  <c r="G6" i="6" s="1"/>
  <c r="O3" i="8"/>
  <c r="O3" i="6"/>
  <c r="P4" i="2"/>
  <c r="W4" i="2" s="1"/>
  <c r="O4" i="8"/>
  <c r="H22" i="6"/>
  <c r="R3" i="8"/>
  <c r="S3" i="8" s="1"/>
  <c r="T3" i="8" s="1"/>
  <c r="U3" i="8" s="1"/>
  <c r="R3" i="6"/>
  <c r="S3" i="6" s="1"/>
  <c r="T3" i="6" s="1"/>
  <c r="U3" i="6" s="1"/>
  <c r="R4" i="8"/>
  <c r="S4" i="8" s="1"/>
  <c r="T4" i="8" s="1"/>
  <c r="U4" i="8" s="1"/>
  <c r="H21" i="6"/>
  <c r="I4" i="6"/>
  <c r="J4" i="6" s="1"/>
  <c r="A7" i="8"/>
  <c r="D7" i="8" s="1"/>
  <c r="G7" i="8" s="1"/>
  <c r="A7" i="2"/>
  <c r="D7" i="2" s="1"/>
  <c r="G7" i="2" s="1"/>
  <c r="H7" i="2" s="1"/>
  <c r="P4" i="8" l="1"/>
  <c r="V4" i="8"/>
  <c r="P3" i="8"/>
  <c r="V3" i="8"/>
  <c r="Q3" i="2"/>
  <c r="W3" i="2"/>
  <c r="P3" i="6"/>
  <c r="V3" i="6"/>
  <c r="W3" i="12"/>
  <c r="W5" i="12"/>
  <c r="W4" i="12"/>
  <c r="W6" i="12"/>
  <c r="G23" i="12"/>
  <c r="A25" i="12"/>
  <c r="D24" i="12"/>
  <c r="W8" i="12"/>
  <c r="L9" i="12"/>
  <c r="N9" i="12" s="1"/>
  <c r="S9" i="12"/>
  <c r="T9" i="12" s="1"/>
  <c r="U9" i="12" s="1"/>
  <c r="V9" i="12" s="1"/>
  <c r="K9" i="12"/>
  <c r="O9" i="12"/>
  <c r="P9" i="12" s="1"/>
  <c r="Q9" i="12" s="1"/>
  <c r="J10" i="12"/>
  <c r="H22" i="12"/>
  <c r="F22" i="12"/>
  <c r="M22" i="12"/>
  <c r="R5" i="8"/>
  <c r="S5" i="8" s="1"/>
  <c r="T5" i="8" s="1"/>
  <c r="U5" i="8" s="1"/>
  <c r="K5" i="8"/>
  <c r="M5" i="8" s="1"/>
  <c r="N5" i="8"/>
  <c r="O5" i="8" s="1"/>
  <c r="L7" i="8"/>
  <c r="F7" i="8"/>
  <c r="H23" i="8"/>
  <c r="I6" i="8"/>
  <c r="J6" i="8" s="1"/>
  <c r="L6" i="6"/>
  <c r="F6" i="6"/>
  <c r="A8" i="6"/>
  <c r="D7" i="6"/>
  <c r="G7" i="6" s="1"/>
  <c r="K4" i="6"/>
  <c r="M4" i="6" s="1"/>
  <c r="R4" i="6"/>
  <c r="S4" i="6" s="1"/>
  <c r="T4" i="6" s="1"/>
  <c r="U4" i="6" s="1"/>
  <c r="N4" i="6"/>
  <c r="I5" i="6"/>
  <c r="J5" i="6" s="1"/>
  <c r="A8" i="8"/>
  <c r="D8" i="8" s="1"/>
  <c r="G8" i="8" s="1"/>
  <c r="A8" i="2"/>
  <c r="D8" i="2" s="1"/>
  <c r="G8" i="2" s="1"/>
  <c r="H8" i="2" s="1"/>
  <c r="E3" i="8"/>
  <c r="J3" i="8" s="1"/>
  <c r="W3" i="8" l="1"/>
  <c r="C3" i="9" s="1"/>
  <c r="W4" i="8"/>
  <c r="W3" i="6"/>
  <c r="P5" i="8"/>
  <c r="V5" i="8"/>
  <c r="W9" i="12"/>
  <c r="G24" i="12"/>
  <c r="A26" i="12"/>
  <c r="D25" i="12"/>
  <c r="L10" i="12"/>
  <c r="N10" i="12" s="1"/>
  <c r="K10" i="12"/>
  <c r="S10" i="12"/>
  <c r="T10" i="12" s="1"/>
  <c r="U10" i="12" s="1"/>
  <c r="V10" i="12" s="1"/>
  <c r="O10" i="12"/>
  <c r="P10" i="12" s="1"/>
  <c r="Q10" i="12" s="1"/>
  <c r="J11" i="12"/>
  <c r="H23" i="12"/>
  <c r="F23" i="12"/>
  <c r="M23" i="12"/>
  <c r="K6" i="8"/>
  <c r="M6" i="8" s="1"/>
  <c r="N6" i="8"/>
  <c r="O6" i="8" s="1"/>
  <c r="R6" i="8"/>
  <c r="S6" i="8" s="1"/>
  <c r="T6" i="8" s="1"/>
  <c r="U6" i="8" s="1"/>
  <c r="H24" i="8"/>
  <c r="I7" i="8"/>
  <c r="J7" i="8" s="1"/>
  <c r="L8" i="8"/>
  <c r="F8" i="8"/>
  <c r="L7" i="6"/>
  <c r="F7" i="6"/>
  <c r="A9" i="6"/>
  <c r="D8" i="6"/>
  <c r="G8" i="6" s="1"/>
  <c r="H23" i="6"/>
  <c r="O4" i="6"/>
  <c r="K5" i="6"/>
  <c r="M5" i="6" s="1"/>
  <c r="I6" i="6"/>
  <c r="J6" i="6" s="1"/>
  <c r="R5" i="6"/>
  <c r="S5" i="6" s="1"/>
  <c r="T5" i="6" s="1"/>
  <c r="U5" i="6" s="1"/>
  <c r="N5" i="6"/>
  <c r="L3" i="8"/>
  <c r="A9" i="8"/>
  <c r="D9" i="8" s="1"/>
  <c r="G9" i="8" s="1"/>
  <c r="A9" i="2"/>
  <c r="D9" i="2" s="1"/>
  <c r="G9" i="2" s="1"/>
  <c r="H9" i="2" s="1"/>
  <c r="W5" i="8" l="1"/>
  <c r="P4" i="6"/>
  <c r="V4" i="6"/>
  <c r="P6" i="8"/>
  <c r="V6" i="8"/>
  <c r="H24" i="12"/>
  <c r="F24" i="12"/>
  <c r="M24" i="12"/>
  <c r="G25" i="12"/>
  <c r="A27" i="12"/>
  <c r="D26" i="12"/>
  <c r="L11" i="12"/>
  <c r="N11" i="12" s="1"/>
  <c r="S11" i="12"/>
  <c r="T11" i="12" s="1"/>
  <c r="U11" i="12" s="1"/>
  <c r="V11" i="12" s="1"/>
  <c r="K11" i="12"/>
  <c r="O11" i="12"/>
  <c r="P11" i="12" s="1"/>
  <c r="Q11" i="12" s="1"/>
  <c r="J12" i="12"/>
  <c r="W10" i="12"/>
  <c r="H25" i="8"/>
  <c r="I8" i="8"/>
  <c r="J8" i="8" s="1"/>
  <c r="R7" i="8"/>
  <c r="S7" i="8" s="1"/>
  <c r="T7" i="8" s="1"/>
  <c r="U7" i="8" s="1"/>
  <c r="N7" i="8"/>
  <c r="O7" i="8" s="1"/>
  <c r="K7" i="8"/>
  <c r="M7" i="8" s="1"/>
  <c r="L9" i="8"/>
  <c r="F9" i="8"/>
  <c r="L8" i="6"/>
  <c r="F8" i="6"/>
  <c r="A10" i="6"/>
  <c r="D9" i="6"/>
  <c r="G9" i="6" s="1"/>
  <c r="H24" i="6"/>
  <c r="O5" i="6"/>
  <c r="R6" i="6"/>
  <c r="S6" i="6" s="1"/>
  <c r="T6" i="6" s="1"/>
  <c r="U6" i="6" s="1"/>
  <c r="N6" i="6"/>
  <c r="K6" i="6"/>
  <c r="M6" i="6" s="1"/>
  <c r="I7" i="6"/>
  <c r="J7" i="6" s="1"/>
  <c r="A10" i="8"/>
  <c r="D10" i="8" s="1"/>
  <c r="G10" i="8" s="1"/>
  <c r="X3" i="8"/>
  <c r="Y3" i="8" s="1"/>
  <c r="A10" i="2"/>
  <c r="D10" i="2" s="1"/>
  <c r="G10" i="2" s="1"/>
  <c r="H10" i="2" s="1"/>
  <c r="C4" i="9"/>
  <c r="X4" i="8"/>
  <c r="Y4" i="8" s="1"/>
  <c r="W6" i="8" l="1"/>
  <c r="P5" i="6"/>
  <c r="V5" i="6"/>
  <c r="W4" i="6"/>
  <c r="P7" i="8"/>
  <c r="V7" i="8"/>
  <c r="W11" i="12"/>
  <c r="G26" i="12"/>
  <c r="A28" i="12"/>
  <c r="D27" i="12"/>
  <c r="H25" i="12"/>
  <c r="F25" i="12"/>
  <c r="M25" i="12"/>
  <c r="S12" i="12"/>
  <c r="T12" i="12" s="1"/>
  <c r="U12" i="12" s="1"/>
  <c r="V12" i="12" s="1"/>
  <c r="K12" i="12"/>
  <c r="L12" i="12"/>
  <c r="N12" i="12" s="1"/>
  <c r="O12" i="12"/>
  <c r="P12" i="12" s="1"/>
  <c r="Q12" i="12" s="1"/>
  <c r="J13" i="12"/>
  <c r="R8" i="8"/>
  <c r="S8" i="8" s="1"/>
  <c r="T8" i="8" s="1"/>
  <c r="U8" i="8" s="1"/>
  <c r="N8" i="8"/>
  <c r="O8" i="8" s="1"/>
  <c r="K8" i="8"/>
  <c r="M8" i="8" s="1"/>
  <c r="H26" i="8"/>
  <c r="I9" i="8"/>
  <c r="J9" i="8" s="1"/>
  <c r="L10" i="8"/>
  <c r="F10" i="8"/>
  <c r="A11" i="6"/>
  <c r="D10" i="6"/>
  <c r="G10" i="6" s="1"/>
  <c r="H25" i="6"/>
  <c r="F9" i="6"/>
  <c r="L9" i="6"/>
  <c r="O6" i="6"/>
  <c r="K7" i="6"/>
  <c r="M7" i="6" s="1"/>
  <c r="I8" i="6"/>
  <c r="J8" i="6" s="1"/>
  <c r="N7" i="6"/>
  <c r="R7" i="6"/>
  <c r="S7" i="6" s="1"/>
  <c r="T7" i="6" s="1"/>
  <c r="U7" i="6" s="1"/>
  <c r="A11" i="8"/>
  <c r="D11" i="8" s="1"/>
  <c r="G11" i="8" s="1"/>
  <c r="A11" i="2"/>
  <c r="D11" i="2" s="1"/>
  <c r="G11" i="2" s="1"/>
  <c r="H11" i="2" s="1"/>
  <c r="C5" i="9"/>
  <c r="W7" i="8" l="1"/>
  <c r="X7" i="8" s="1"/>
  <c r="Y7" i="8" s="1"/>
  <c r="P6" i="6"/>
  <c r="V6" i="6"/>
  <c r="P8" i="8"/>
  <c r="V8" i="8"/>
  <c r="W5" i="6"/>
  <c r="W12" i="12"/>
  <c r="G27" i="12"/>
  <c r="S13" i="12"/>
  <c r="T13" i="12" s="1"/>
  <c r="U13" i="12" s="1"/>
  <c r="V13" i="12" s="1"/>
  <c r="K13" i="12"/>
  <c r="L13" i="12"/>
  <c r="N13" i="12" s="1"/>
  <c r="O13" i="12"/>
  <c r="P13" i="12" s="1"/>
  <c r="J14" i="12"/>
  <c r="A29" i="12"/>
  <c r="D28" i="12"/>
  <c r="H26" i="12"/>
  <c r="F26" i="12"/>
  <c r="M26" i="12"/>
  <c r="L11" i="8"/>
  <c r="F11" i="8"/>
  <c r="N9" i="8"/>
  <c r="O9" i="8" s="1"/>
  <c r="K9" i="8"/>
  <c r="M9" i="8" s="1"/>
  <c r="R9" i="8"/>
  <c r="S9" i="8" s="1"/>
  <c r="T9" i="8" s="1"/>
  <c r="U9" i="8" s="1"/>
  <c r="H27" i="8"/>
  <c r="I10" i="8"/>
  <c r="J10" i="8" s="1"/>
  <c r="H26" i="6"/>
  <c r="F10" i="6"/>
  <c r="L10" i="6"/>
  <c r="A12" i="6"/>
  <c r="D11" i="6"/>
  <c r="G11" i="6" s="1"/>
  <c r="O7" i="6"/>
  <c r="N8" i="6"/>
  <c r="K8" i="6"/>
  <c r="M8" i="6" s="1"/>
  <c r="R8" i="6"/>
  <c r="S8" i="6" s="1"/>
  <c r="T8" i="6" s="1"/>
  <c r="U8" i="6" s="1"/>
  <c r="I9" i="6"/>
  <c r="J9" i="6" s="1"/>
  <c r="A12" i="8"/>
  <c r="D12" i="8" s="1"/>
  <c r="G12" i="8" s="1"/>
  <c r="C6" i="9"/>
  <c r="M10" i="2"/>
  <c r="A12" i="2"/>
  <c r="D12" i="2" s="1"/>
  <c r="G12" i="2" s="1"/>
  <c r="H12" i="2" s="1"/>
  <c r="X5" i="8"/>
  <c r="Y5" i="8" s="1"/>
  <c r="W8" i="8" l="1"/>
  <c r="P9" i="8"/>
  <c r="V9" i="8"/>
  <c r="P7" i="6"/>
  <c r="V7" i="6"/>
  <c r="W6" i="6"/>
  <c r="Q13" i="12"/>
  <c r="G7" i="1" s="1"/>
  <c r="I7" i="1"/>
  <c r="H27" i="12"/>
  <c r="F27" i="12"/>
  <c r="M27" i="12"/>
  <c r="G28" i="12"/>
  <c r="L14" i="12"/>
  <c r="N14" i="12" s="1"/>
  <c r="S14" i="12"/>
  <c r="T14" i="12" s="1"/>
  <c r="U14" i="12" s="1"/>
  <c r="V14" i="12" s="1"/>
  <c r="K14" i="12"/>
  <c r="O14" i="12"/>
  <c r="P14" i="12" s="1"/>
  <c r="Q14" i="12" s="1"/>
  <c r="J15" i="12"/>
  <c r="A30" i="12"/>
  <c r="D29" i="12"/>
  <c r="R10" i="8"/>
  <c r="S10" i="8" s="1"/>
  <c r="T10" i="8" s="1"/>
  <c r="U10" i="8" s="1"/>
  <c r="N10" i="8"/>
  <c r="O10" i="8" s="1"/>
  <c r="K10" i="8"/>
  <c r="M10" i="8" s="1"/>
  <c r="F12" i="8"/>
  <c r="L12" i="8"/>
  <c r="H28" i="8"/>
  <c r="I11" i="8"/>
  <c r="J11" i="8" s="1"/>
  <c r="A13" i="6"/>
  <c r="D12" i="6"/>
  <c r="G12" i="6" s="1"/>
  <c r="L11" i="6"/>
  <c r="F11" i="6"/>
  <c r="H27" i="6"/>
  <c r="O8" i="6"/>
  <c r="R9" i="6"/>
  <c r="S9" i="6" s="1"/>
  <c r="T9" i="6" s="1"/>
  <c r="U9" i="6" s="1"/>
  <c r="K9" i="6"/>
  <c r="M9" i="6" s="1"/>
  <c r="N9" i="6"/>
  <c r="I10" i="6"/>
  <c r="J10" i="6" s="1"/>
  <c r="X6" i="8"/>
  <c r="Y6" i="8" s="1"/>
  <c r="A13" i="8"/>
  <c r="D13" i="8" s="1"/>
  <c r="G13" i="8" s="1"/>
  <c r="A13" i="2"/>
  <c r="D13" i="2" s="1"/>
  <c r="C7" i="9"/>
  <c r="W9" i="8" l="1"/>
  <c r="C9" i="9" s="1"/>
  <c r="G13" i="2"/>
  <c r="F13" i="2" s="1"/>
  <c r="W13" i="12"/>
  <c r="W7" i="6"/>
  <c r="P8" i="6"/>
  <c r="V8" i="6"/>
  <c r="P10" i="8"/>
  <c r="V10" i="8"/>
  <c r="W14" i="12"/>
  <c r="G29" i="12"/>
  <c r="H28" i="12"/>
  <c r="M28" i="12"/>
  <c r="F28" i="12"/>
  <c r="A31" i="12"/>
  <c r="D30" i="12"/>
  <c r="S15" i="12"/>
  <c r="T15" i="12" s="1"/>
  <c r="U15" i="12" s="1"/>
  <c r="V15" i="12" s="1"/>
  <c r="K15" i="12"/>
  <c r="L15" i="12"/>
  <c r="N15" i="12" s="1"/>
  <c r="O15" i="12"/>
  <c r="P15" i="12" s="1"/>
  <c r="Q15" i="12" s="1"/>
  <c r="J16" i="12"/>
  <c r="H29" i="8"/>
  <c r="I12" i="8"/>
  <c r="J12" i="8" s="1"/>
  <c r="L13" i="8"/>
  <c r="F13" i="8"/>
  <c r="R11" i="8"/>
  <c r="S11" i="8" s="1"/>
  <c r="T11" i="8" s="1"/>
  <c r="U11" i="8" s="1"/>
  <c r="N11" i="8"/>
  <c r="O11" i="8" s="1"/>
  <c r="K11" i="8"/>
  <c r="M11" i="8" s="1"/>
  <c r="H28" i="6"/>
  <c r="L12" i="6"/>
  <c r="F12" i="6"/>
  <c r="A14" i="6"/>
  <c r="D13" i="6"/>
  <c r="G13" i="6" s="1"/>
  <c r="O9" i="6"/>
  <c r="R10" i="6"/>
  <c r="S10" i="6" s="1"/>
  <c r="T10" i="6" s="1"/>
  <c r="U10" i="6" s="1"/>
  <c r="K10" i="6"/>
  <c r="M10" i="6" s="1"/>
  <c r="N10" i="6"/>
  <c r="I11" i="6"/>
  <c r="J11" i="6" s="1"/>
  <c r="A14" i="8"/>
  <c r="D14" i="8" s="1"/>
  <c r="G14" i="8" s="1"/>
  <c r="A14" i="2"/>
  <c r="D14" i="2" s="1"/>
  <c r="G14" i="2" s="1"/>
  <c r="H14" i="2" s="1"/>
  <c r="C8" i="9"/>
  <c r="X8" i="8"/>
  <c r="Y8" i="8" s="1"/>
  <c r="H13" i="2" l="1"/>
  <c r="W10" i="8"/>
  <c r="C10" i="9" s="1"/>
  <c r="W8" i="6"/>
  <c r="P11" i="8"/>
  <c r="V11" i="8"/>
  <c r="P9" i="6"/>
  <c r="V9" i="6"/>
  <c r="W15" i="12"/>
  <c r="L16" i="12"/>
  <c r="N16" i="12" s="1"/>
  <c r="S16" i="12"/>
  <c r="T16" i="12" s="1"/>
  <c r="U16" i="12" s="1"/>
  <c r="V16" i="12" s="1"/>
  <c r="K16" i="12"/>
  <c r="O16" i="12"/>
  <c r="P16" i="12" s="1"/>
  <c r="Q16" i="12" s="1"/>
  <c r="J17" i="12"/>
  <c r="A32" i="12"/>
  <c r="D31" i="12"/>
  <c r="G30" i="12"/>
  <c r="H29" i="12"/>
  <c r="M29" i="12"/>
  <c r="F29" i="12"/>
  <c r="H30" i="8"/>
  <c r="I13" i="8"/>
  <c r="J13" i="8" s="1"/>
  <c r="K12" i="8"/>
  <c r="M12" i="8" s="1"/>
  <c r="R12" i="8"/>
  <c r="S12" i="8" s="1"/>
  <c r="T12" i="8" s="1"/>
  <c r="U12" i="8" s="1"/>
  <c r="N12" i="8"/>
  <c r="O12" i="8" s="1"/>
  <c r="L14" i="8"/>
  <c r="F14" i="8"/>
  <c r="H29" i="6"/>
  <c r="L13" i="6"/>
  <c r="F13" i="6"/>
  <c r="A15" i="6"/>
  <c r="D14" i="6"/>
  <c r="G14" i="6" s="1"/>
  <c r="O10" i="6"/>
  <c r="R11" i="6"/>
  <c r="S11" i="6" s="1"/>
  <c r="T11" i="6" s="1"/>
  <c r="U11" i="6" s="1"/>
  <c r="N11" i="6"/>
  <c r="K11" i="6"/>
  <c r="M11" i="6" s="1"/>
  <c r="I12" i="6"/>
  <c r="J12" i="6" s="1"/>
  <c r="A15" i="8"/>
  <c r="D15" i="8" s="1"/>
  <c r="G15" i="8" s="1"/>
  <c r="A15" i="2"/>
  <c r="D15" i="2" s="1"/>
  <c r="G15" i="2" s="1"/>
  <c r="H15" i="2" s="1"/>
  <c r="X9" i="8"/>
  <c r="Y9" i="8" s="1"/>
  <c r="W11" i="8" l="1"/>
  <c r="C11" i="9" s="1"/>
  <c r="P12" i="8"/>
  <c r="V12" i="8"/>
  <c r="W9" i="6"/>
  <c r="P10" i="6"/>
  <c r="V10" i="6"/>
  <c r="L17" i="12"/>
  <c r="N17" i="12" s="1"/>
  <c r="K17" i="12"/>
  <c r="S17" i="12"/>
  <c r="T17" i="12" s="1"/>
  <c r="U17" i="12" s="1"/>
  <c r="V17" i="12" s="1"/>
  <c r="O17" i="12"/>
  <c r="P17" i="12" s="1"/>
  <c r="Q17" i="12" s="1"/>
  <c r="J18" i="12"/>
  <c r="A33" i="12"/>
  <c r="D33" i="12" s="1"/>
  <c r="D32" i="12"/>
  <c r="G31" i="12"/>
  <c r="H30" i="12"/>
  <c r="F30" i="12"/>
  <c r="M30" i="12"/>
  <c r="W16" i="12"/>
  <c r="F15" i="8"/>
  <c r="L15" i="8"/>
  <c r="R13" i="8"/>
  <c r="S13" i="8" s="1"/>
  <c r="T13" i="8" s="1"/>
  <c r="U13" i="8" s="1"/>
  <c r="K13" i="8"/>
  <c r="M13" i="8" s="1"/>
  <c r="N13" i="8"/>
  <c r="O13" i="8" s="1"/>
  <c r="H31" i="8"/>
  <c r="I14" i="8"/>
  <c r="J14" i="8" s="1"/>
  <c r="F14" i="6"/>
  <c r="L14" i="6"/>
  <c r="H30" i="6"/>
  <c r="A16" i="6"/>
  <c r="D15" i="6"/>
  <c r="G15" i="6" s="1"/>
  <c r="O11" i="6"/>
  <c r="R12" i="6"/>
  <c r="S12" i="6" s="1"/>
  <c r="T12" i="6" s="1"/>
  <c r="U12" i="6" s="1"/>
  <c r="N12" i="6"/>
  <c r="K12" i="6"/>
  <c r="M12" i="6" s="1"/>
  <c r="I13" i="6"/>
  <c r="J13" i="6" s="1"/>
  <c r="A16" i="8"/>
  <c r="D16" i="8" s="1"/>
  <c r="G16" i="8" s="1"/>
  <c r="A16" i="2"/>
  <c r="D16" i="2" s="1"/>
  <c r="G16" i="2" s="1"/>
  <c r="H16" i="2" s="1"/>
  <c r="X10" i="8"/>
  <c r="Y10" i="8" s="1"/>
  <c r="W12" i="8" l="1"/>
  <c r="C12" i="9" s="1"/>
  <c r="P13" i="8"/>
  <c r="V13" i="8"/>
  <c r="P11" i="6"/>
  <c r="V11" i="6"/>
  <c r="W10" i="6"/>
  <c r="G32" i="12"/>
  <c r="W17" i="12"/>
  <c r="G33" i="12"/>
  <c r="L18" i="12"/>
  <c r="N18" i="12" s="1"/>
  <c r="K18" i="12"/>
  <c r="S18" i="12"/>
  <c r="T18" i="12" s="1"/>
  <c r="U18" i="12" s="1"/>
  <c r="V18" i="12" s="1"/>
  <c r="O18" i="12"/>
  <c r="P18" i="12" s="1"/>
  <c r="Q18" i="12" s="1"/>
  <c r="J19" i="12"/>
  <c r="H31" i="12"/>
  <c r="F31" i="12"/>
  <c r="M31" i="12"/>
  <c r="L16" i="8"/>
  <c r="F16" i="8"/>
  <c r="R14" i="8"/>
  <c r="S14" i="8" s="1"/>
  <c r="T14" i="8" s="1"/>
  <c r="U14" i="8" s="1"/>
  <c r="N14" i="8"/>
  <c r="O14" i="8" s="1"/>
  <c r="K14" i="8"/>
  <c r="M14" i="8" s="1"/>
  <c r="H32" i="8"/>
  <c r="I15" i="8"/>
  <c r="J15" i="8" s="1"/>
  <c r="L15" i="6"/>
  <c r="F15" i="6"/>
  <c r="A17" i="6"/>
  <c r="D16" i="6"/>
  <c r="G16" i="6" s="1"/>
  <c r="H31" i="6"/>
  <c r="O12" i="6"/>
  <c r="N13" i="6"/>
  <c r="O13" i="6" s="1"/>
  <c r="K13" i="6"/>
  <c r="M13" i="6" s="1"/>
  <c r="R13" i="6"/>
  <c r="S13" i="6" s="1"/>
  <c r="T13" i="6" s="1"/>
  <c r="U13" i="6" s="1"/>
  <c r="I14" i="6"/>
  <c r="J14" i="6" s="1"/>
  <c r="A17" i="8"/>
  <c r="D17" i="8" s="1"/>
  <c r="G17" i="8" s="1"/>
  <c r="A17" i="2"/>
  <c r="D17" i="2" s="1"/>
  <c r="G17" i="2" s="1"/>
  <c r="H17" i="2" s="1"/>
  <c r="X11" i="8"/>
  <c r="Y11" i="8" s="1"/>
  <c r="W13" i="8" l="1"/>
  <c r="G18" i="1" s="1"/>
  <c r="V13" i="6"/>
  <c r="W11" i="6"/>
  <c r="P12" i="6"/>
  <c r="V12" i="6"/>
  <c r="P14" i="8"/>
  <c r="V14" i="8"/>
  <c r="W18" i="12"/>
  <c r="F33" i="12"/>
  <c r="H33" i="12"/>
  <c r="M33" i="12"/>
  <c r="L19" i="12"/>
  <c r="N19" i="12" s="1"/>
  <c r="S19" i="12"/>
  <c r="T19" i="12" s="1"/>
  <c r="U19" i="12" s="1"/>
  <c r="V19" i="12" s="1"/>
  <c r="K19" i="12"/>
  <c r="O19" i="12"/>
  <c r="P19" i="12" s="1"/>
  <c r="Q19" i="12" s="1"/>
  <c r="J20" i="12"/>
  <c r="H32" i="12"/>
  <c r="M32" i="12"/>
  <c r="F32" i="12"/>
  <c r="L17" i="8"/>
  <c r="F17" i="8"/>
  <c r="R15" i="8"/>
  <c r="S15" i="8" s="1"/>
  <c r="T15" i="8" s="1"/>
  <c r="U15" i="8" s="1"/>
  <c r="N15" i="8"/>
  <c r="O15" i="8" s="1"/>
  <c r="K15" i="8"/>
  <c r="M15" i="8" s="1"/>
  <c r="H33" i="8"/>
  <c r="I16" i="8"/>
  <c r="J16" i="8" s="1"/>
  <c r="A18" i="6"/>
  <c r="D17" i="6"/>
  <c r="G17" i="6" s="1"/>
  <c r="H32" i="6"/>
  <c r="L16" i="6"/>
  <c r="F16" i="6"/>
  <c r="P13" i="6"/>
  <c r="R14" i="6"/>
  <c r="S14" i="6" s="1"/>
  <c r="T14" i="6" s="1"/>
  <c r="U14" i="6" s="1"/>
  <c r="N14" i="6"/>
  <c r="I15" i="6"/>
  <c r="J15" i="6" s="1"/>
  <c r="K14" i="6"/>
  <c r="M14" i="6" s="1"/>
  <c r="A18" i="8"/>
  <c r="D18" i="8" s="1"/>
  <c r="G18" i="8" s="1"/>
  <c r="A18" i="2"/>
  <c r="D18" i="2" s="1"/>
  <c r="G18" i="2" s="1"/>
  <c r="H18" i="2" s="1"/>
  <c r="X13" i="8"/>
  <c r="Y13" i="8" s="1"/>
  <c r="X12" i="8"/>
  <c r="Y12" i="8" s="1"/>
  <c r="W13" i="6" l="1"/>
  <c r="G17" i="1" s="1"/>
  <c r="W14" i="8"/>
  <c r="C14" i="9" s="1"/>
  <c r="W12" i="6"/>
  <c r="P15" i="8"/>
  <c r="V15" i="8"/>
  <c r="W19" i="12"/>
  <c r="S20" i="12"/>
  <c r="T20" i="12" s="1"/>
  <c r="U20" i="12" s="1"/>
  <c r="V20" i="12" s="1"/>
  <c r="L20" i="12"/>
  <c r="N20" i="12" s="1"/>
  <c r="K20" i="12"/>
  <c r="O20" i="12"/>
  <c r="P20" i="12" s="1"/>
  <c r="Q20" i="12" s="1"/>
  <c r="J21" i="12"/>
  <c r="L18" i="8"/>
  <c r="F18" i="8"/>
  <c r="R16" i="8"/>
  <c r="S16" i="8" s="1"/>
  <c r="T16" i="8" s="1"/>
  <c r="U16" i="8" s="1"/>
  <c r="K16" i="8"/>
  <c r="M16" i="8" s="1"/>
  <c r="N16" i="8"/>
  <c r="O16" i="8" s="1"/>
  <c r="I17" i="8"/>
  <c r="J17" i="8" s="1"/>
  <c r="H33" i="6"/>
  <c r="L17" i="6"/>
  <c r="F17" i="6"/>
  <c r="A19" i="6"/>
  <c r="D18" i="6"/>
  <c r="G18" i="6" s="1"/>
  <c r="O14" i="6"/>
  <c r="R15" i="6"/>
  <c r="S15" i="6" s="1"/>
  <c r="T15" i="6" s="1"/>
  <c r="U15" i="6" s="1"/>
  <c r="N15" i="6"/>
  <c r="K15" i="6"/>
  <c r="M15" i="6" s="1"/>
  <c r="I16" i="6"/>
  <c r="J16" i="6" s="1"/>
  <c r="A19" i="8"/>
  <c r="D19" i="8" s="1"/>
  <c r="G19" i="8" s="1"/>
  <c r="A19" i="2"/>
  <c r="D19" i="2" s="1"/>
  <c r="G19" i="2" s="1"/>
  <c r="H19" i="2" s="1"/>
  <c r="C13" i="9"/>
  <c r="W15" i="8" l="1"/>
  <c r="X15" i="8" s="1"/>
  <c r="Y15" i="8" s="1"/>
  <c r="P14" i="6"/>
  <c r="V14" i="6"/>
  <c r="P16" i="8"/>
  <c r="V16" i="8"/>
  <c r="S21" i="12"/>
  <c r="T21" i="12" s="1"/>
  <c r="U21" i="12" s="1"/>
  <c r="V21" i="12" s="1"/>
  <c r="K21" i="12"/>
  <c r="L21" i="12"/>
  <c r="N21" i="12" s="1"/>
  <c r="O21" i="12"/>
  <c r="P21" i="12" s="1"/>
  <c r="Q21" i="12" s="1"/>
  <c r="J22" i="12"/>
  <c r="W20" i="12"/>
  <c r="L19" i="8"/>
  <c r="F19" i="8"/>
  <c r="I18" i="8"/>
  <c r="J18" i="8" s="1"/>
  <c r="R17" i="8"/>
  <c r="S17" i="8" s="1"/>
  <c r="T17" i="8" s="1"/>
  <c r="U17" i="8" s="1"/>
  <c r="N17" i="8"/>
  <c r="O17" i="8" s="1"/>
  <c r="K17" i="8"/>
  <c r="M17" i="8" s="1"/>
  <c r="A20" i="6"/>
  <c r="D19" i="6"/>
  <c r="G19" i="6" s="1"/>
  <c r="L18" i="6"/>
  <c r="F18" i="6"/>
  <c r="O15" i="6"/>
  <c r="R16" i="6"/>
  <c r="S16" i="6" s="1"/>
  <c r="T16" i="6" s="1"/>
  <c r="U16" i="6" s="1"/>
  <c r="I17" i="6"/>
  <c r="J17" i="6" s="1"/>
  <c r="K16" i="6"/>
  <c r="M16" i="6" s="1"/>
  <c r="N16" i="6"/>
  <c r="A20" i="8"/>
  <c r="D20" i="8" s="1"/>
  <c r="G20" i="8" s="1"/>
  <c r="A20" i="2"/>
  <c r="D20" i="2" s="1"/>
  <c r="G20" i="2" s="1"/>
  <c r="H20" i="2" s="1"/>
  <c r="X14" i="8"/>
  <c r="Y14" i="8" s="1"/>
  <c r="W16" i="8" l="1"/>
  <c r="X16" i="8" s="1"/>
  <c r="Y16" i="8" s="1"/>
  <c r="P15" i="6"/>
  <c r="V15" i="6"/>
  <c r="P17" i="8"/>
  <c r="V17" i="8"/>
  <c r="W14" i="6"/>
  <c r="L22" i="12"/>
  <c r="N22" i="12" s="1"/>
  <c r="S22" i="12"/>
  <c r="T22" i="12" s="1"/>
  <c r="U22" i="12" s="1"/>
  <c r="V22" i="12" s="1"/>
  <c r="K22" i="12"/>
  <c r="O22" i="12"/>
  <c r="P22" i="12" s="1"/>
  <c r="Q22" i="12" s="1"/>
  <c r="J23" i="12"/>
  <c r="W21" i="12"/>
  <c r="L20" i="8"/>
  <c r="F20" i="8"/>
  <c r="R18" i="8"/>
  <c r="S18" i="8" s="1"/>
  <c r="T18" i="8" s="1"/>
  <c r="U18" i="8" s="1"/>
  <c r="N18" i="8"/>
  <c r="O18" i="8" s="1"/>
  <c r="K18" i="8"/>
  <c r="M18" i="8" s="1"/>
  <c r="I19" i="8"/>
  <c r="J19" i="8" s="1"/>
  <c r="F19" i="6"/>
  <c r="L19" i="6"/>
  <c r="A21" i="6"/>
  <c r="D20" i="6"/>
  <c r="G20" i="6" s="1"/>
  <c r="O16" i="6"/>
  <c r="R17" i="6"/>
  <c r="S17" i="6" s="1"/>
  <c r="T17" i="6" s="1"/>
  <c r="U17" i="6" s="1"/>
  <c r="N17" i="6"/>
  <c r="K17" i="6"/>
  <c r="M17" i="6" s="1"/>
  <c r="I18" i="6"/>
  <c r="J18" i="6" s="1"/>
  <c r="A21" i="8"/>
  <c r="D21" i="8" s="1"/>
  <c r="G21" i="8" s="1"/>
  <c r="A21" i="2"/>
  <c r="D21" i="2" s="1"/>
  <c r="C15" i="9"/>
  <c r="W17" i="8" l="1"/>
  <c r="C17" i="9" s="1"/>
  <c r="P16" i="6"/>
  <c r="V16" i="6"/>
  <c r="P18" i="8"/>
  <c r="V18" i="8"/>
  <c r="W15" i="6"/>
  <c r="G21" i="2"/>
  <c r="H21" i="2" s="1"/>
  <c r="S23" i="12"/>
  <c r="T23" i="12" s="1"/>
  <c r="U23" i="12" s="1"/>
  <c r="V23" i="12" s="1"/>
  <c r="K23" i="12"/>
  <c r="L23" i="12"/>
  <c r="N23" i="12" s="1"/>
  <c r="O23" i="12"/>
  <c r="P23" i="12" s="1"/>
  <c r="Q23" i="12" s="1"/>
  <c r="J24" i="12"/>
  <c r="W22" i="12"/>
  <c r="L21" i="8"/>
  <c r="F21" i="8"/>
  <c r="I20" i="8"/>
  <c r="J20" i="8" s="1"/>
  <c r="R19" i="8"/>
  <c r="S19" i="8" s="1"/>
  <c r="T19" i="8" s="1"/>
  <c r="U19" i="8" s="1"/>
  <c r="N19" i="8"/>
  <c r="O19" i="8" s="1"/>
  <c r="K19" i="8"/>
  <c r="M19" i="8" s="1"/>
  <c r="A22" i="6"/>
  <c r="D21" i="6"/>
  <c r="G21" i="6" s="1"/>
  <c r="O17" i="6"/>
  <c r="R18" i="6"/>
  <c r="S18" i="6" s="1"/>
  <c r="T18" i="6" s="1"/>
  <c r="U18" i="6" s="1"/>
  <c r="N18" i="6"/>
  <c r="K18" i="6"/>
  <c r="M18" i="6" s="1"/>
  <c r="I19" i="6"/>
  <c r="J19" i="6" s="1"/>
  <c r="A22" i="8"/>
  <c r="D22" i="8" s="1"/>
  <c r="G22" i="8" s="1"/>
  <c r="A22" i="2"/>
  <c r="D22" i="2" s="1"/>
  <c r="G22" i="2" s="1"/>
  <c r="H22" i="2" s="1"/>
  <c r="C16" i="9"/>
  <c r="W18" i="8" l="1"/>
  <c r="X18" i="8" s="1"/>
  <c r="Y18" i="8" s="1"/>
  <c r="W16" i="6"/>
  <c r="P17" i="6"/>
  <c r="V17" i="6"/>
  <c r="P19" i="8"/>
  <c r="V19" i="8"/>
  <c r="S24" i="12"/>
  <c r="T24" i="12" s="1"/>
  <c r="U24" i="12" s="1"/>
  <c r="V24" i="12" s="1"/>
  <c r="L24" i="12"/>
  <c r="N24" i="12" s="1"/>
  <c r="K24" i="12"/>
  <c r="O24" i="12"/>
  <c r="P24" i="12" s="1"/>
  <c r="Q24" i="12" s="1"/>
  <c r="J25" i="12"/>
  <c r="W23" i="12"/>
  <c r="R20" i="8"/>
  <c r="S20" i="8" s="1"/>
  <c r="T20" i="8" s="1"/>
  <c r="U20" i="8" s="1"/>
  <c r="K20" i="8"/>
  <c r="M20" i="8" s="1"/>
  <c r="N20" i="8"/>
  <c r="O20" i="8" s="1"/>
  <c r="I21" i="8"/>
  <c r="J21" i="8" s="1"/>
  <c r="L22" i="8"/>
  <c r="F22" i="8"/>
  <c r="F21" i="6"/>
  <c r="L21" i="6"/>
  <c r="A23" i="6"/>
  <c r="D22" i="6"/>
  <c r="G22" i="6" s="1"/>
  <c r="O18" i="6"/>
  <c r="R19" i="6"/>
  <c r="S19" i="6" s="1"/>
  <c r="T19" i="6" s="1"/>
  <c r="U19" i="6" s="1"/>
  <c r="N19" i="6"/>
  <c r="K19" i="6"/>
  <c r="M19" i="6" s="1"/>
  <c r="A23" i="8"/>
  <c r="D23" i="8" s="1"/>
  <c r="G23" i="8" s="1"/>
  <c r="A23" i="2"/>
  <c r="D23" i="2" s="1"/>
  <c r="G23" i="2" s="1"/>
  <c r="H23" i="2" s="1"/>
  <c r="X17" i="8"/>
  <c r="Y17" i="8" s="1"/>
  <c r="W19" i="8" l="1"/>
  <c r="W17" i="6"/>
  <c r="P20" i="8"/>
  <c r="V20" i="8"/>
  <c r="P18" i="6"/>
  <c r="V18" i="6"/>
  <c r="L25" i="12"/>
  <c r="N25" i="12" s="1"/>
  <c r="S25" i="12"/>
  <c r="T25" i="12" s="1"/>
  <c r="U25" i="12" s="1"/>
  <c r="V25" i="12" s="1"/>
  <c r="K25" i="12"/>
  <c r="O25" i="12"/>
  <c r="P25" i="12" s="1"/>
  <c r="Q25" i="12" s="1"/>
  <c r="J26" i="12"/>
  <c r="W24" i="12"/>
  <c r="I22" i="8"/>
  <c r="R22" i="8" s="1"/>
  <c r="S22" i="8" s="1"/>
  <c r="T22" i="8" s="1"/>
  <c r="U22" i="8" s="1"/>
  <c r="F23" i="8"/>
  <c r="L23" i="8"/>
  <c r="K21" i="8"/>
  <c r="M21" i="8" s="1"/>
  <c r="N21" i="8"/>
  <c r="O21" i="8" s="1"/>
  <c r="R21" i="8"/>
  <c r="S21" i="8" s="1"/>
  <c r="T21" i="8" s="1"/>
  <c r="U21" i="8" s="1"/>
  <c r="A24" i="6"/>
  <c r="D23" i="6"/>
  <c r="G23" i="6" s="1"/>
  <c r="F22" i="6"/>
  <c r="L22" i="6"/>
  <c r="O19" i="6"/>
  <c r="A24" i="8"/>
  <c r="D24" i="8" s="1"/>
  <c r="G24" i="8" s="1"/>
  <c r="A24" i="2"/>
  <c r="D24" i="2" s="1"/>
  <c r="G24" i="2" s="1"/>
  <c r="H24" i="2" s="1"/>
  <c r="C19" i="9"/>
  <c r="C18" i="9"/>
  <c r="W20" i="8" l="1"/>
  <c r="P19" i="6"/>
  <c r="V19" i="6"/>
  <c r="W18" i="6"/>
  <c r="P21" i="8"/>
  <c r="V21" i="8"/>
  <c r="L26" i="12"/>
  <c r="N26" i="12" s="1"/>
  <c r="S26" i="12"/>
  <c r="T26" i="12" s="1"/>
  <c r="U26" i="12" s="1"/>
  <c r="V26" i="12" s="1"/>
  <c r="K26" i="12"/>
  <c r="O26" i="12"/>
  <c r="P26" i="12" s="1"/>
  <c r="Q26" i="12" s="1"/>
  <c r="J27" i="12"/>
  <c r="W25" i="12"/>
  <c r="I23" i="8"/>
  <c r="K23" i="8" s="1"/>
  <c r="M23" i="8" s="1"/>
  <c r="N22" i="8"/>
  <c r="O22" i="8" s="1"/>
  <c r="J22" i="8"/>
  <c r="K22" i="8"/>
  <c r="M22" i="8" s="1"/>
  <c r="L24" i="8"/>
  <c r="F24" i="8"/>
  <c r="L23" i="6"/>
  <c r="F23" i="6"/>
  <c r="A25" i="6"/>
  <c r="D24" i="6"/>
  <c r="G24" i="6" s="1"/>
  <c r="A25" i="8"/>
  <c r="D25" i="8" s="1"/>
  <c r="G25" i="8" s="1"/>
  <c r="A25" i="2"/>
  <c r="D25" i="2" s="1"/>
  <c r="G25" i="2" s="1"/>
  <c r="H25" i="2" s="1"/>
  <c r="C20" i="9"/>
  <c r="X19" i="8"/>
  <c r="Y19" i="8" s="1"/>
  <c r="W21" i="8" l="1"/>
  <c r="C21" i="9" s="1"/>
  <c r="P22" i="8"/>
  <c r="V22" i="8"/>
  <c r="W19" i="6"/>
  <c r="I24" i="8"/>
  <c r="R24" i="8" s="1"/>
  <c r="S24" i="8" s="1"/>
  <c r="T24" i="8" s="1"/>
  <c r="U24" i="8" s="1"/>
  <c r="N23" i="8"/>
  <c r="O23" i="8" s="1"/>
  <c r="W26" i="12"/>
  <c r="S27" i="12"/>
  <c r="T27" i="12" s="1"/>
  <c r="U27" i="12" s="1"/>
  <c r="V27" i="12" s="1"/>
  <c r="L27" i="12"/>
  <c r="N27" i="12" s="1"/>
  <c r="K27" i="12"/>
  <c r="O27" i="12"/>
  <c r="P27" i="12" s="1"/>
  <c r="Q27" i="12" s="1"/>
  <c r="J28" i="12"/>
  <c r="J23" i="8"/>
  <c r="R23" i="8"/>
  <c r="S23" i="8" s="1"/>
  <c r="T23" i="8" s="1"/>
  <c r="U23" i="8" s="1"/>
  <c r="L25" i="8"/>
  <c r="F25" i="8"/>
  <c r="A26" i="6"/>
  <c r="D25" i="6"/>
  <c r="G25" i="6" s="1"/>
  <c r="L24" i="6"/>
  <c r="F24" i="6"/>
  <c r="A26" i="8"/>
  <c r="D26" i="8" s="1"/>
  <c r="G26" i="8" s="1"/>
  <c r="A26" i="2"/>
  <c r="D26" i="2" s="1"/>
  <c r="G26" i="2" s="1"/>
  <c r="H26" i="2" s="1"/>
  <c r="X20" i="8"/>
  <c r="Y20" i="8" s="1"/>
  <c r="P23" i="8" l="1"/>
  <c r="V23" i="8"/>
  <c r="W22" i="8"/>
  <c r="C22" i="9" s="1"/>
  <c r="K24" i="8"/>
  <c r="M24" i="8" s="1"/>
  <c r="I25" i="8"/>
  <c r="N25" i="8" s="1"/>
  <c r="O25" i="8" s="1"/>
  <c r="N24" i="8"/>
  <c r="O24" i="8" s="1"/>
  <c r="J24" i="8"/>
  <c r="S28" i="12"/>
  <c r="T28" i="12" s="1"/>
  <c r="U28" i="12" s="1"/>
  <c r="V28" i="12" s="1"/>
  <c r="L28" i="12"/>
  <c r="N28" i="12" s="1"/>
  <c r="K28" i="12"/>
  <c r="O28" i="12"/>
  <c r="P28" i="12" s="1"/>
  <c r="Q28" i="12" s="1"/>
  <c r="J29" i="12"/>
  <c r="W27" i="12"/>
  <c r="L26" i="8"/>
  <c r="F26" i="8"/>
  <c r="F25" i="6"/>
  <c r="L25" i="6"/>
  <c r="A27" i="6"/>
  <c r="D26" i="6"/>
  <c r="G26" i="6" s="1"/>
  <c r="A27" i="8"/>
  <c r="D27" i="8" s="1"/>
  <c r="G27" i="8" s="1"/>
  <c r="A27" i="2"/>
  <c r="D27" i="2" s="1"/>
  <c r="G27" i="2" s="1"/>
  <c r="H27" i="2" s="1"/>
  <c r="X21" i="8"/>
  <c r="Y21" i="8" s="1"/>
  <c r="W23" i="8" l="1"/>
  <c r="C23" i="9" s="1"/>
  <c r="P24" i="8"/>
  <c r="V24" i="8"/>
  <c r="P25" i="8"/>
  <c r="V25" i="8"/>
  <c r="R25" i="8"/>
  <c r="S25" i="8" s="1"/>
  <c r="T25" i="8" s="1"/>
  <c r="K25" i="8"/>
  <c r="M25" i="8" s="1"/>
  <c r="J25" i="8"/>
  <c r="I26" i="8"/>
  <c r="J26" i="8" s="1"/>
  <c r="L29" i="12"/>
  <c r="N29" i="12" s="1"/>
  <c r="S29" i="12"/>
  <c r="T29" i="12" s="1"/>
  <c r="U29" i="12" s="1"/>
  <c r="V29" i="12" s="1"/>
  <c r="K29" i="12"/>
  <c r="O29" i="12"/>
  <c r="P29" i="12" s="1"/>
  <c r="Q29" i="12" s="1"/>
  <c r="J30" i="12"/>
  <c r="W28" i="12"/>
  <c r="L27" i="8"/>
  <c r="F27" i="8"/>
  <c r="A28" i="6"/>
  <c r="D27" i="6"/>
  <c r="G27" i="6" s="1"/>
  <c r="L26" i="6"/>
  <c r="F26" i="6"/>
  <c r="A28" i="8"/>
  <c r="D28" i="8" s="1"/>
  <c r="G28" i="8" s="1"/>
  <c r="A28" i="2"/>
  <c r="D28" i="2" s="1"/>
  <c r="G28" i="2" s="1"/>
  <c r="H28" i="2" s="1"/>
  <c r="X22" i="8"/>
  <c r="Y22" i="8" s="1"/>
  <c r="U25" i="8" l="1"/>
  <c r="W25" i="8" s="1"/>
  <c r="W24" i="8"/>
  <c r="X24" i="8" s="1"/>
  <c r="Y24" i="8" s="1"/>
  <c r="N26" i="8"/>
  <c r="O26" i="8" s="1"/>
  <c r="I27" i="8"/>
  <c r="R27" i="8" s="1"/>
  <c r="S27" i="8" s="1"/>
  <c r="T27" i="8" s="1"/>
  <c r="U27" i="8" s="1"/>
  <c r="R26" i="8"/>
  <c r="S26" i="8" s="1"/>
  <c r="T26" i="8" s="1"/>
  <c r="U26" i="8" s="1"/>
  <c r="K26" i="8"/>
  <c r="M26" i="8" s="1"/>
  <c r="L30" i="12"/>
  <c r="N30" i="12" s="1"/>
  <c r="S30" i="12"/>
  <c r="T30" i="12" s="1"/>
  <c r="U30" i="12" s="1"/>
  <c r="V30" i="12" s="1"/>
  <c r="K30" i="12"/>
  <c r="O30" i="12"/>
  <c r="P30" i="12" s="1"/>
  <c r="Q30" i="12" s="1"/>
  <c r="J31" i="12"/>
  <c r="W29" i="12"/>
  <c r="L28" i="8"/>
  <c r="F28" i="8"/>
  <c r="L27" i="6"/>
  <c r="F27" i="6"/>
  <c r="A29" i="6"/>
  <c r="D28" i="6"/>
  <c r="G28" i="6" s="1"/>
  <c r="A29" i="8"/>
  <c r="D29" i="8" s="1"/>
  <c r="G29" i="8" s="1"/>
  <c r="A29" i="2"/>
  <c r="D29" i="2" s="1"/>
  <c r="G29" i="2" s="1"/>
  <c r="H29" i="2" s="1"/>
  <c r="X23" i="8"/>
  <c r="Y23" i="8" s="1"/>
  <c r="I28" i="8" l="1"/>
  <c r="R28" i="8" s="1"/>
  <c r="S28" i="8" s="1"/>
  <c r="T28" i="8" s="1"/>
  <c r="U28" i="8" s="1"/>
  <c r="N27" i="8"/>
  <c r="O27" i="8" s="1"/>
  <c r="P27" i="8" s="1"/>
  <c r="P26" i="8"/>
  <c r="V26" i="8"/>
  <c r="K27" i="8"/>
  <c r="M27" i="8" s="1"/>
  <c r="J27" i="8"/>
  <c r="S31" i="12"/>
  <c r="T31" i="12" s="1"/>
  <c r="U31" i="12" s="1"/>
  <c r="V31" i="12" s="1"/>
  <c r="L31" i="12"/>
  <c r="N31" i="12" s="1"/>
  <c r="K31" i="12"/>
  <c r="O31" i="12"/>
  <c r="P31" i="12" s="1"/>
  <c r="Q31" i="12" s="1"/>
  <c r="J32" i="12"/>
  <c r="W30" i="12"/>
  <c r="L29" i="8"/>
  <c r="F29" i="8"/>
  <c r="A30" i="6"/>
  <c r="D29" i="6"/>
  <c r="G29" i="6" s="1"/>
  <c r="F28" i="6"/>
  <c r="L28" i="6"/>
  <c r="A30" i="8"/>
  <c r="D30" i="8" s="1"/>
  <c r="G30" i="8" s="1"/>
  <c r="A30" i="2"/>
  <c r="D30" i="2" s="1"/>
  <c r="G30" i="2" s="1"/>
  <c r="H30" i="2" s="1"/>
  <c r="C25" i="9"/>
  <c r="C24" i="9"/>
  <c r="I29" i="8" l="1"/>
  <c r="R29" i="8" s="1"/>
  <c r="S29" i="8" s="1"/>
  <c r="T29" i="8" s="1"/>
  <c r="U29" i="8" s="1"/>
  <c r="K28" i="8"/>
  <c r="M28" i="8" s="1"/>
  <c r="J28" i="8"/>
  <c r="N28" i="8"/>
  <c r="O28" i="8" s="1"/>
  <c r="P28" i="8" s="1"/>
  <c r="V27" i="8"/>
  <c r="W27" i="8" s="1"/>
  <c r="W26" i="8"/>
  <c r="C26" i="9" s="1"/>
  <c r="L32" i="12"/>
  <c r="N32" i="12" s="1"/>
  <c r="S32" i="12"/>
  <c r="T32" i="12" s="1"/>
  <c r="U32" i="12" s="1"/>
  <c r="V32" i="12" s="1"/>
  <c r="K32" i="12"/>
  <c r="O32" i="12"/>
  <c r="P32" i="12" s="1"/>
  <c r="Q32" i="12" s="1"/>
  <c r="J33" i="12"/>
  <c r="W31" i="12"/>
  <c r="F30" i="8"/>
  <c r="L30" i="8"/>
  <c r="L29" i="6"/>
  <c r="F29" i="6"/>
  <c r="A31" i="6"/>
  <c r="D30" i="6"/>
  <c r="G30" i="6" s="1"/>
  <c r="A31" i="8"/>
  <c r="D31" i="8" s="1"/>
  <c r="G31" i="8" s="1"/>
  <c r="A31" i="2"/>
  <c r="D31" i="2" s="1"/>
  <c r="G31" i="2" s="1"/>
  <c r="H31" i="2" s="1"/>
  <c r="X25" i="8"/>
  <c r="Y25" i="8" s="1"/>
  <c r="K29" i="8" l="1"/>
  <c r="M29" i="8" s="1"/>
  <c r="J29" i="8"/>
  <c r="N29" i="8"/>
  <c r="O29" i="8" s="1"/>
  <c r="P29" i="8" s="1"/>
  <c r="V28" i="8"/>
  <c r="W28" i="8" s="1"/>
  <c r="I30" i="8"/>
  <c r="K30" i="8" s="1"/>
  <c r="M30" i="8" s="1"/>
  <c r="L33" i="12"/>
  <c r="N33" i="12" s="1"/>
  <c r="S33" i="12"/>
  <c r="T33" i="12" s="1"/>
  <c r="U33" i="12" s="1"/>
  <c r="V33" i="12" s="1"/>
  <c r="K33" i="12"/>
  <c r="O33" i="12"/>
  <c r="P33" i="12" s="1"/>
  <c r="Q33" i="12" s="1"/>
  <c r="W32" i="12"/>
  <c r="L31" i="8"/>
  <c r="F31" i="8"/>
  <c r="A32" i="6"/>
  <c r="D31" i="6"/>
  <c r="G31" i="6" s="1"/>
  <c r="L30" i="6"/>
  <c r="F30" i="6"/>
  <c r="A32" i="8"/>
  <c r="D32" i="8" s="1"/>
  <c r="G32" i="8" s="1"/>
  <c r="A32" i="2"/>
  <c r="D32" i="2" s="1"/>
  <c r="G32" i="2" s="1"/>
  <c r="H32" i="2" s="1"/>
  <c r="X27" i="8"/>
  <c r="Y27" i="8" s="1"/>
  <c r="X26" i="8"/>
  <c r="Y26" i="8" s="1"/>
  <c r="V29" i="8" l="1"/>
  <c r="W29" i="8" s="1"/>
  <c r="I31" i="8"/>
  <c r="K31" i="8" s="1"/>
  <c r="M31" i="8" s="1"/>
  <c r="R30" i="8"/>
  <c r="S30" i="8" s="1"/>
  <c r="T30" i="8" s="1"/>
  <c r="U30" i="8" s="1"/>
  <c r="N30" i="8"/>
  <c r="O30" i="8" s="1"/>
  <c r="P30" i="8" s="1"/>
  <c r="J30" i="8"/>
  <c r="W33" i="12"/>
  <c r="L32" i="8"/>
  <c r="F32" i="8"/>
  <c r="L31" i="6"/>
  <c r="F31" i="6"/>
  <c r="A33" i="6"/>
  <c r="D33" i="6" s="1"/>
  <c r="G33" i="6" s="1"/>
  <c r="D32" i="6"/>
  <c r="G32" i="6" s="1"/>
  <c r="A33" i="8"/>
  <c r="D33" i="8" s="1"/>
  <c r="G33" i="8" s="1"/>
  <c r="A33" i="2"/>
  <c r="D33" i="2" s="1"/>
  <c r="G33" i="2" s="1"/>
  <c r="H33" i="2" s="1"/>
  <c r="C28" i="9"/>
  <c r="C27" i="9"/>
  <c r="I32" i="8" l="1"/>
  <c r="K32" i="8" s="1"/>
  <c r="M32" i="8" s="1"/>
  <c r="J31" i="8"/>
  <c r="N31" i="8"/>
  <c r="O31" i="8" s="1"/>
  <c r="P31" i="8" s="1"/>
  <c r="R31" i="8"/>
  <c r="S31" i="8" s="1"/>
  <c r="T31" i="8" s="1"/>
  <c r="U31" i="8" s="1"/>
  <c r="V30" i="8"/>
  <c r="W30" i="8" s="1"/>
  <c r="L33" i="8"/>
  <c r="F33" i="8"/>
  <c r="L32" i="6"/>
  <c r="F32" i="6"/>
  <c r="X29" i="8"/>
  <c r="Y29" i="8" s="1"/>
  <c r="X28" i="8"/>
  <c r="Y28" i="8" s="1"/>
  <c r="V31" i="8" l="1"/>
  <c r="W31" i="8" s="1"/>
  <c r="J32" i="8"/>
  <c r="R32" i="8"/>
  <c r="S32" i="8" s="1"/>
  <c r="T32" i="8" s="1"/>
  <c r="U32" i="8" s="1"/>
  <c r="I33" i="8"/>
  <c r="J33" i="8" s="1"/>
  <c r="N32" i="8"/>
  <c r="O32" i="8" s="1"/>
  <c r="P32" i="8" s="1"/>
  <c r="L33" i="6"/>
  <c r="F33" i="6"/>
  <c r="C30" i="9"/>
  <c r="C29" i="9"/>
  <c r="N33" i="8" l="1"/>
  <c r="O33" i="8" s="1"/>
  <c r="P33" i="8" s="1"/>
  <c r="K33" i="8"/>
  <c r="M33" i="8" s="1"/>
  <c r="V32" i="8"/>
  <c r="W32" i="8" s="1"/>
  <c r="R33" i="8"/>
  <c r="S33" i="8" s="1"/>
  <c r="T33" i="8" s="1"/>
  <c r="U33" i="8" s="1"/>
  <c r="C31" i="9"/>
  <c r="X30" i="8"/>
  <c r="Y30" i="8" s="1"/>
  <c r="V33" i="8" l="1"/>
  <c r="W33" i="8" s="1"/>
  <c r="X32" i="8"/>
  <c r="Y32" i="8" s="1"/>
  <c r="X31" i="8"/>
  <c r="Y31" i="8" s="1"/>
  <c r="C33" i="9" l="1"/>
  <c r="C32" i="9"/>
  <c r="C34" i="9" l="1"/>
  <c r="X33" i="8"/>
  <c r="Y33" i="8" s="1"/>
  <c r="E3" i="6" l="1"/>
  <c r="J3" i="6" s="1"/>
  <c r="L3" i="6" l="1"/>
  <c r="L20" i="6" l="1"/>
  <c r="F20" i="6"/>
  <c r="I20" i="6" s="1"/>
  <c r="X3" i="6"/>
  <c r="R20" i="6" l="1"/>
  <c r="S20" i="6" s="1"/>
  <c r="T20" i="6" s="1"/>
  <c r="U20" i="6" s="1"/>
  <c r="J20" i="6"/>
  <c r="I21" i="6"/>
  <c r="K20" i="6"/>
  <c r="M20" i="6" s="1"/>
  <c r="N20" i="6"/>
  <c r="D3" i="9"/>
  <c r="I3" i="9" s="1"/>
  <c r="Y3" i="6"/>
  <c r="R21" i="6" l="1"/>
  <c r="S21" i="6" s="1"/>
  <c r="T21" i="6" s="1"/>
  <c r="U21" i="6" s="1"/>
  <c r="J21" i="6"/>
  <c r="I22" i="6"/>
  <c r="I23" i="6" s="1"/>
  <c r="K21" i="6"/>
  <c r="M21" i="6" s="1"/>
  <c r="N21" i="6"/>
  <c r="O20" i="6"/>
  <c r="X5" i="6"/>
  <c r="X4" i="6"/>
  <c r="Y4" i="6" s="1"/>
  <c r="P20" i="6" l="1"/>
  <c r="V20" i="6"/>
  <c r="J23" i="6"/>
  <c r="J22" i="6"/>
  <c r="K22" i="6"/>
  <c r="M22" i="6" s="1"/>
  <c r="R22" i="6"/>
  <c r="S22" i="6" s="1"/>
  <c r="T22" i="6" s="1"/>
  <c r="U22" i="6" s="1"/>
  <c r="N22" i="6"/>
  <c r="O21" i="6"/>
  <c r="X6" i="6"/>
  <c r="D4" i="9"/>
  <c r="D5" i="9"/>
  <c r="Y5" i="6"/>
  <c r="W20" i="6" l="1"/>
  <c r="P21" i="6"/>
  <c r="V21" i="6"/>
  <c r="K23" i="6"/>
  <c r="M23" i="6" s="1"/>
  <c r="N23" i="6"/>
  <c r="R23" i="6"/>
  <c r="S23" i="6" s="1"/>
  <c r="T23" i="6" s="1"/>
  <c r="U23" i="6" s="1"/>
  <c r="I24" i="6"/>
  <c r="J24" i="6" s="1"/>
  <c r="O23" i="6"/>
  <c r="O22" i="6"/>
  <c r="X7" i="6"/>
  <c r="I4" i="9"/>
  <c r="D6" i="9"/>
  <c r="Y6" i="6"/>
  <c r="I5" i="9"/>
  <c r="P23" i="6" l="1"/>
  <c r="V23" i="6"/>
  <c r="W21" i="6"/>
  <c r="P22" i="6"/>
  <c r="V22" i="6"/>
  <c r="R24" i="6"/>
  <c r="S24" i="6" s="1"/>
  <c r="T24" i="6" s="1"/>
  <c r="U24" i="6" s="1"/>
  <c r="N24" i="6"/>
  <c r="O24" i="6" s="1"/>
  <c r="I25" i="6"/>
  <c r="J25" i="6" s="1"/>
  <c r="K24" i="6"/>
  <c r="M24" i="6" s="1"/>
  <c r="D7" i="9"/>
  <c r="Y7" i="6"/>
  <c r="I6" i="9"/>
  <c r="W23" i="6" l="1"/>
  <c r="P24" i="6"/>
  <c r="V24" i="6"/>
  <c r="W22" i="6"/>
  <c r="I26" i="6"/>
  <c r="J26" i="6" s="1"/>
  <c r="K25" i="6"/>
  <c r="M25" i="6" s="1"/>
  <c r="R25" i="6"/>
  <c r="S25" i="6" s="1"/>
  <c r="T25" i="6" s="1"/>
  <c r="U25" i="6" s="1"/>
  <c r="N25" i="6"/>
  <c r="O25" i="6" s="1"/>
  <c r="X8" i="6"/>
  <c r="Y8" i="6" s="1"/>
  <c r="I7" i="9"/>
  <c r="W24" i="6" l="1"/>
  <c r="P25" i="6"/>
  <c r="V25" i="6"/>
  <c r="I27" i="6"/>
  <c r="J27" i="6" s="1"/>
  <c r="N26" i="6"/>
  <c r="O26" i="6" s="1"/>
  <c r="K26" i="6"/>
  <c r="M26" i="6" s="1"/>
  <c r="R26" i="6"/>
  <c r="S26" i="6" s="1"/>
  <c r="T26" i="6" s="1"/>
  <c r="U26" i="6" s="1"/>
  <c r="D8" i="9"/>
  <c r="I8" i="9" s="1"/>
  <c r="X9" i="6"/>
  <c r="Y9" i="6" s="1"/>
  <c r="W25" i="6" l="1"/>
  <c r="P26" i="6"/>
  <c r="V26" i="6"/>
  <c r="R27" i="6"/>
  <c r="S27" i="6" s="1"/>
  <c r="T27" i="6" s="1"/>
  <c r="U27" i="6" s="1"/>
  <c r="N27" i="6"/>
  <c r="I28" i="6"/>
  <c r="J28" i="6" s="1"/>
  <c r="K27" i="6"/>
  <c r="M27" i="6" s="1"/>
  <c r="O27" i="6"/>
  <c r="X11" i="6"/>
  <c r="D9" i="9"/>
  <c r="I9" i="9" s="1"/>
  <c r="X10" i="6"/>
  <c r="Y10" i="6" s="1"/>
  <c r="W26" i="6" l="1"/>
  <c r="P27" i="6"/>
  <c r="V27" i="6"/>
  <c r="N28" i="6"/>
  <c r="O28" i="6" s="1"/>
  <c r="R28" i="6"/>
  <c r="S28" i="6" s="1"/>
  <c r="T28" i="6" s="1"/>
  <c r="U28" i="6" s="1"/>
  <c r="I29" i="6"/>
  <c r="J29" i="6" s="1"/>
  <c r="K28" i="6"/>
  <c r="M28" i="6" s="1"/>
  <c r="D10" i="9"/>
  <c r="I10" i="9" s="1"/>
  <c r="D11" i="9"/>
  <c r="Y11" i="6"/>
  <c r="W27" i="6" l="1"/>
  <c r="P28" i="6"/>
  <c r="V28" i="6"/>
  <c r="K29" i="6"/>
  <c r="M29" i="6" s="1"/>
  <c r="N29" i="6"/>
  <c r="R29" i="6"/>
  <c r="S29" i="6" s="1"/>
  <c r="T29" i="6" s="1"/>
  <c r="U29" i="6" s="1"/>
  <c r="I30" i="6"/>
  <c r="J30" i="6" s="1"/>
  <c r="O29" i="6"/>
  <c r="X13" i="6"/>
  <c r="X12" i="6"/>
  <c r="Y12" i="6" s="1"/>
  <c r="I11" i="9"/>
  <c r="W28" i="6" l="1"/>
  <c r="I31" i="6"/>
  <c r="J31" i="6" s="1"/>
  <c r="K30" i="6"/>
  <c r="M30" i="6" s="1"/>
  <c r="P29" i="6"/>
  <c r="V29" i="6"/>
  <c r="R30" i="6"/>
  <c r="S30" i="6" s="1"/>
  <c r="T30" i="6" s="1"/>
  <c r="U30" i="6" s="1"/>
  <c r="N30" i="6"/>
  <c r="O30" i="6" s="1"/>
  <c r="D13" i="9"/>
  <c r="D12" i="9"/>
  <c r="I12" i="9" s="1"/>
  <c r="Y13" i="6"/>
  <c r="W29" i="6" l="1"/>
  <c r="I32" i="6"/>
  <c r="J32" i="6" s="1"/>
  <c r="N31" i="6"/>
  <c r="O31" i="6" s="1"/>
  <c r="K31" i="6"/>
  <c r="M31" i="6" s="1"/>
  <c r="R31" i="6"/>
  <c r="S31" i="6" s="1"/>
  <c r="T31" i="6" s="1"/>
  <c r="U31" i="6" s="1"/>
  <c r="P30" i="6"/>
  <c r="V30" i="6"/>
  <c r="I13" i="9"/>
  <c r="X15" i="6"/>
  <c r="X14" i="6"/>
  <c r="Y14" i="6" s="1"/>
  <c r="I33" i="6" l="1"/>
  <c r="J33" i="6" s="1"/>
  <c r="K32" i="6"/>
  <c r="M32" i="6" s="1"/>
  <c r="R32" i="6"/>
  <c r="S32" i="6" s="1"/>
  <c r="T32" i="6" s="1"/>
  <c r="U32" i="6" s="1"/>
  <c r="N32" i="6"/>
  <c r="W30" i="6"/>
  <c r="P31" i="6"/>
  <c r="V31" i="6"/>
  <c r="O32" i="6"/>
  <c r="X16" i="6"/>
  <c r="D14" i="9"/>
  <c r="I14" i="9" s="1"/>
  <c r="D15" i="9"/>
  <c r="Y15" i="6"/>
  <c r="N33" i="6" l="1"/>
  <c r="R33" i="6"/>
  <c r="S33" i="6" s="1"/>
  <c r="T33" i="6" s="1"/>
  <c r="U33" i="6" s="1"/>
  <c r="K33" i="6"/>
  <c r="M33" i="6" s="1"/>
  <c r="W31" i="6"/>
  <c r="P32" i="6"/>
  <c r="V32" i="6"/>
  <c r="O33" i="6"/>
  <c r="X17" i="6"/>
  <c r="D16" i="9"/>
  <c r="I16" i="9" s="1"/>
  <c r="Y16" i="6"/>
  <c r="I15" i="9"/>
  <c r="W32" i="6" l="1"/>
  <c r="P33" i="6"/>
  <c r="V33" i="6"/>
  <c r="D17" i="9"/>
  <c r="I17" i="9" s="1"/>
  <c r="Y17" i="6"/>
  <c r="W33" i="6" l="1"/>
  <c r="X19" i="6"/>
  <c r="X18" i="6"/>
  <c r="Y18" i="6" s="1"/>
  <c r="D18" i="9" l="1"/>
  <c r="I18" i="9" s="1"/>
  <c r="D19" i="9"/>
  <c r="I19" i="9" s="1"/>
  <c r="Y19" i="6"/>
  <c r="X20" i="6" l="1"/>
  <c r="Y20" i="6" s="1"/>
  <c r="X21" i="6" l="1"/>
  <c r="Y21" i="6" s="1"/>
  <c r="D20" i="9"/>
  <c r="I20" i="9" s="1"/>
  <c r="X23" i="6" l="1"/>
  <c r="X22" i="6"/>
  <c r="Y22" i="6" s="1"/>
  <c r="D21" i="9"/>
  <c r="I21" i="9" s="1"/>
  <c r="X24" i="6" l="1"/>
  <c r="D22" i="9"/>
  <c r="I22" i="9" s="1"/>
  <c r="D23" i="9"/>
  <c r="Y23" i="6"/>
  <c r="X25" i="6" l="1"/>
  <c r="D24" i="9"/>
  <c r="Y24" i="6"/>
  <c r="I23" i="9"/>
  <c r="X26" i="6" l="1"/>
  <c r="D25" i="9"/>
  <c r="I25" i="9" s="1"/>
  <c r="Y25" i="6"/>
  <c r="I24" i="9"/>
  <c r="D26" i="9" l="1"/>
  <c r="I26" i="9" s="1"/>
  <c r="Y26" i="6"/>
  <c r="X27" i="6" l="1"/>
  <c r="Y27" i="6" s="1"/>
  <c r="D27" i="9" l="1"/>
  <c r="I27" i="9" s="1"/>
  <c r="X28" i="6"/>
  <c r="Y28" i="6" s="1"/>
  <c r="D28" i="9" l="1"/>
  <c r="I28" i="9" s="1"/>
  <c r="X29" i="6"/>
  <c r="Y29" i="6" s="1"/>
  <c r="X31" i="6" l="1"/>
  <c r="X30" i="6"/>
  <c r="Y30" i="6" s="1"/>
  <c r="D29" i="9"/>
  <c r="I29" i="9" s="1"/>
  <c r="X32" i="6" l="1"/>
  <c r="D31" i="9"/>
  <c r="I31" i="9" s="1"/>
  <c r="D30" i="9"/>
  <c r="I30" i="9" s="1"/>
  <c r="Y31" i="6"/>
  <c r="D32" i="9" l="1"/>
  <c r="Y32" i="6"/>
  <c r="X33" i="6" l="1"/>
  <c r="Y33" i="6" s="1"/>
  <c r="D33" i="9"/>
  <c r="I32" i="9"/>
  <c r="I33" i="9" l="1"/>
  <c r="I34" i="9" s="1"/>
  <c r="D34" i="9"/>
  <c r="M15" i="2" l="1"/>
  <c r="F15" i="2"/>
  <c r="M3" i="2"/>
  <c r="M6" i="2"/>
  <c r="F6" i="2"/>
  <c r="F10" i="2"/>
  <c r="F14" i="2"/>
  <c r="M14" i="2"/>
  <c r="M11" i="2"/>
  <c r="F11" i="2"/>
  <c r="F18" i="2"/>
  <c r="M18" i="2"/>
  <c r="F5" i="2"/>
  <c r="M5" i="2"/>
  <c r="M9" i="2"/>
  <c r="F9" i="2"/>
  <c r="F19" i="2"/>
  <c r="M19" i="2"/>
  <c r="M13" i="2"/>
  <c r="F8" i="2"/>
  <c r="M8" i="2"/>
  <c r="F17" i="2"/>
  <c r="M17" i="2"/>
  <c r="F16" i="2"/>
  <c r="M16" i="2"/>
  <c r="M12" i="2"/>
  <c r="F12" i="2"/>
  <c r="F7" i="2"/>
  <c r="M7" i="2"/>
  <c r="I31" i="2" l="1"/>
  <c r="I27" i="2"/>
  <c r="I24" i="2"/>
  <c r="I25" i="2"/>
  <c r="I29" i="2"/>
  <c r="I30" i="2"/>
  <c r="I28" i="2"/>
  <c r="I32" i="2"/>
  <c r="I26" i="2"/>
  <c r="I33" i="2"/>
  <c r="I22" i="2"/>
  <c r="J5" i="2"/>
  <c r="I23" i="2"/>
  <c r="F20" i="2"/>
  <c r="M4" i="2"/>
  <c r="S3" i="2"/>
  <c r="T3" i="2" s="1"/>
  <c r="U3" i="2" s="1"/>
  <c r="V3" i="2" s="1"/>
  <c r="L3" i="2"/>
  <c r="N3" i="2" s="1"/>
  <c r="X3" i="2" l="1"/>
  <c r="O5" i="2"/>
  <c r="P5" i="2" s="1"/>
  <c r="W5" i="2" s="1"/>
  <c r="K5" i="2"/>
  <c r="J6" i="2"/>
  <c r="K6" i="2" s="1"/>
  <c r="S4" i="2"/>
  <c r="T4" i="2" s="1"/>
  <c r="U4" i="2" s="1"/>
  <c r="V4" i="2" s="1"/>
  <c r="L4" i="2"/>
  <c r="N4" i="2" s="1"/>
  <c r="J7" i="2" l="1"/>
  <c r="K7" i="2" s="1"/>
  <c r="O6" i="2"/>
  <c r="P6" i="2" s="1"/>
  <c r="W6" i="2" s="1"/>
  <c r="B3" i="9"/>
  <c r="M20" i="2"/>
  <c r="Q4" i="2"/>
  <c r="S5" i="2"/>
  <c r="T5" i="2" s="1"/>
  <c r="U5" i="2" s="1"/>
  <c r="V5" i="2" s="1"/>
  <c r="L5" i="2"/>
  <c r="N5" i="2" s="1"/>
  <c r="X4" i="2" l="1"/>
  <c r="B4" i="9" s="1"/>
  <c r="H3" i="9"/>
  <c r="G3" i="9"/>
  <c r="J8" i="2"/>
  <c r="K8" i="2" s="1"/>
  <c r="O7" i="2"/>
  <c r="P7" i="2" s="1"/>
  <c r="W7" i="2" s="1"/>
  <c r="F21" i="2"/>
  <c r="M21" i="2"/>
  <c r="Q5" i="2"/>
  <c r="X5" i="2" s="1"/>
  <c r="L6" i="2"/>
  <c r="N6" i="2" s="1"/>
  <c r="S6" i="2"/>
  <c r="T6" i="2" s="1"/>
  <c r="U6" i="2" s="1"/>
  <c r="V6" i="2" s="1"/>
  <c r="G4" i="9" l="1"/>
  <c r="H4" i="9"/>
  <c r="B5" i="9"/>
  <c r="G5" i="9" s="1"/>
  <c r="J9" i="2"/>
  <c r="K9" i="2" s="1"/>
  <c r="O8" i="2"/>
  <c r="P8" i="2" s="1"/>
  <c r="W8" i="2" s="1"/>
  <c r="F22" i="2"/>
  <c r="M22" i="2"/>
  <c r="Q6" i="2"/>
  <c r="L7" i="2"/>
  <c r="N7" i="2" s="1"/>
  <c r="S7" i="2"/>
  <c r="T7" i="2" s="1"/>
  <c r="U7" i="2" s="1"/>
  <c r="V7" i="2" s="1"/>
  <c r="X6" i="2" l="1"/>
  <c r="B6" i="9" s="1"/>
  <c r="H5" i="9"/>
  <c r="J10" i="2"/>
  <c r="K10" i="2" s="1"/>
  <c r="O9" i="2"/>
  <c r="P9" i="2" s="1"/>
  <c r="W9" i="2" s="1"/>
  <c r="F23" i="2"/>
  <c r="M23" i="2"/>
  <c r="Q7" i="2"/>
  <c r="X7" i="2" s="1"/>
  <c r="S8" i="2"/>
  <c r="T8" i="2" s="1"/>
  <c r="U8" i="2" s="1"/>
  <c r="V8" i="2" s="1"/>
  <c r="L8" i="2"/>
  <c r="N8" i="2" s="1"/>
  <c r="G6" i="9" l="1"/>
  <c r="H6" i="9"/>
  <c r="B7" i="9"/>
  <c r="G7" i="9" s="1"/>
  <c r="J11" i="2"/>
  <c r="K11" i="2" s="1"/>
  <c r="O10" i="2"/>
  <c r="P10" i="2" s="1"/>
  <c r="W10" i="2" s="1"/>
  <c r="F24" i="2"/>
  <c r="M24" i="2"/>
  <c r="Q8" i="2"/>
  <c r="X8" i="2" s="1"/>
  <c r="L9" i="2"/>
  <c r="N9" i="2" s="1"/>
  <c r="S9" i="2"/>
  <c r="T9" i="2" s="1"/>
  <c r="U9" i="2" s="1"/>
  <c r="V9" i="2" s="1"/>
  <c r="H7" i="9" l="1"/>
  <c r="B8" i="9"/>
  <c r="H8" i="9" s="1"/>
  <c r="J12" i="2"/>
  <c r="K12" i="2" s="1"/>
  <c r="O11" i="2"/>
  <c r="P11" i="2" s="1"/>
  <c r="W11" i="2" s="1"/>
  <c r="M25" i="2"/>
  <c r="F25" i="2"/>
  <c r="Q9" i="2"/>
  <c r="L10" i="2"/>
  <c r="N10" i="2" s="1"/>
  <c r="S10" i="2"/>
  <c r="T10" i="2" s="1"/>
  <c r="U10" i="2" s="1"/>
  <c r="V10" i="2" s="1"/>
  <c r="G8" i="9" l="1"/>
  <c r="X9" i="2"/>
  <c r="B9" i="9" s="1"/>
  <c r="J13" i="2"/>
  <c r="K13" i="2" s="1"/>
  <c r="O12" i="2"/>
  <c r="P12" i="2" s="1"/>
  <c r="W12" i="2" s="1"/>
  <c r="Q10" i="2"/>
  <c r="X10" i="2" s="1"/>
  <c r="M26" i="2"/>
  <c r="F26" i="2"/>
  <c r="S11" i="2"/>
  <c r="T11" i="2" s="1"/>
  <c r="U11" i="2" s="1"/>
  <c r="V11" i="2" s="1"/>
  <c r="L11" i="2"/>
  <c r="N11" i="2" s="1"/>
  <c r="G9" i="9" l="1"/>
  <c r="H9" i="9"/>
  <c r="B10" i="9"/>
  <c r="G10" i="9" s="1"/>
  <c r="J14" i="2"/>
  <c r="K14" i="2" s="1"/>
  <c r="O13" i="2"/>
  <c r="P13" i="2" s="1"/>
  <c r="Q11" i="2"/>
  <c r="F27" i="2"/>
  <c r="M27" i="2"/>
  <c r="S12" i="2"/>
  <c r="T12" i="2" s="1"/>
  <c r="U12" i="2" s="1"/>
  <c r="V12" i="2" s="1"/>
  <c r="L12" i="2"/>
  <c r="N12" i="2" s="1"/>
  <c r="H10" i="9" l="1"/>
  <c r="W13" i="2"/>
  <c r="X11" i="2"/>
  <c r="B11" i="9" s="1"/>
  <c r="I5" i="1"/>
  <c r="J15" i="2"/>
  <c r="K15" i="2" s="1"/>
  <c r="O14" i="2"/>
  <c r="P14" i="2" s="1"/>
  <c r="W14" i="2" s="1"/>
  <c r="Q12" i="2"/>
  <c r="M28" i="2"/>
  <c r="F28" i="2"/>
  <c r="S13" i="2"/>
  <c r="T13" i="2" s="1"/>
  <c r="U13" i="2" s="1"/>
  <c r="V13" i="2" s="1"/>
  <c r="L13" i="2"/>
  <c r="N13" i="2" s="1"/>
  <c r="H11" i="9" l="1"/>
  <c r="G11" i="9"/>
  <c r="X12" i="2"/>
  <c r="B12" i="9" s="1"/>
  <c r="J16" i="2"/>
  <c r="K16" i="2" s="1"/>
  <c r="O15" i="2"/>
  <c r="P15" i="2" s="1"/>
  <c r="W15" i="2" s="1"/>
  <c r="Q13" i="2"/>
  <c r="G5" i="1" s="1"/>
  <c r="F29" i="2"/>
  <c r="M29" i="2"/>
  <c r="S14" i="2"/>
  <c r="T14" i="2" s="1"/>
  <c r="U14" i="2" s="1"/>
  <c r="V14" i="2" s="1"/>
  <c r="L14" i="2"/>
  <c r="N14" i="2" s="1"/>
  <c r="X13" i="2" l="1"/>
  <c r="G19" i="1" s="1"/>
  <c r="G12" i="9"/>
  <c r="H12" i="9"/>
  <c r="J17" i="2"/>
  <c r="K17" i="2" s="1"/>
  <c r="O16" i="2"/>
  <c r="P16" i="2" s="1"/>
  <c r="W16" i="2" s="1"/>
  <c r="F30" i="2"/>
  <c r="M30" i="2"/>
  <c r="Q14" i="2"/>
  <c r="X14" i="2" s="1"/>
  <c r="L15" i="2"/>
  <c r="N15" i="2" s="1"/>
  <c r="S15" i="2"/>
  <c r="T15" i="2" s="1"/>
  <c r="U15" i="2" s="1"/>
  <c r="V15" i="2" s="1"/>
  <c r="B13" i="9" l="1"/>
  <c r="H13" i="9" s="1"/>
  <c r="B14" i="9"/>
  <c r="G14" i="9" s="1"/>
  <c r="J18" i="2"/>
  <c r="K18" i="2" s="1"/>
  <c r="O17" i="2"/>
  <c r="P17" i="2" s="1"/>
  <c r="W17" i="2" s="1"/>
  <c r="F31" i="2"/>
  <c r="M31" i="2"/>
  <c r="Q15" i="2"/>
  <c r="X15" i="2" s="1"/>
  <c r="L16" i="2"/>
  <c r="N16" i="2" s="1"/>
  <c r="S16" i="2"/>
  <c r="T16" i="2" s="1"/>
  <c r="U16" i="2" s="1"/>
  <c r="V16" i="2" s="1"/>
  <c r="G13" i="9" l="1"/>
  <c r="H14" i="9"/>
  <c r="J19" i="2"/>
  <c r="K19" i="2" s="1"/>
  <c r="O18" i="2"/>
  <c r="P18" i="2" s="1"/>
  <c r="W18" i="2" s="1"/>
  <c r="B15" i="9"/>
  <c r="Q16" i="2"/>
  <c r="F32" i="2"/>
  <c r="M32" i="2"/>
  <c r="S17" i="2"/>
  <c r="T17" i="2" s="1"/>
  <c r="U17" i="2" s="1"/>
  <c r="V17" i="2" s="1"/>
  <c r="L17" i="2"/>
  <c r="N17" i="2" s="1"/>
  <c r="Q17" i="2" s="1"/>
  <c r="X17" i="2" l="1"/>
  <c r="B17" i="9" s="1"/>
  <c r="G17" i="9" s="1"/>
  <c r="X16" i="2"/>
  <c r="B16" i="9" s="1"/>
  <c r="J20" i="2"/>
  <c r="K20" i="2" s="1"/>
  <c r="O19" i="2"/>
  <c r="P19" i="2" s="1"/>
  <c r="W19" i="2" s="1"/>
  <c r="F33" i="2"/>
  <c r="M33" i="2"/>
  <c r="G15" i="9"/>
  <c r="H15" i="9"/>
  <c r="L18" i="2"/>
  <c r="N18" i="2" s="1"/>
  <c r="Q18" i="2" s="1"/>
  <c r="S18" i="2"/>
  <c r="T18" i="2" s="1"/>
  <c r="U18" i="2" s="1"/>
  <c r="V18" i="2" s="1"/>
  <c r="X18" i="2" l="1"/>
  <c r="B18" i="9" s="1"/>
  <c r="G18" i="9" s="1"/>
  <c r="H16" i="9"/>
  <c r="G16" i="9"/>
  <c r="J21" i="2"/>
  <c r="O20" i="2"/>
  <c r="P20" i="2" s="1"/>
  <c r="W20" i="2" s="1"/>
  <c r="H17" i="9"/>
  <c r="S19" i="2"/>
  <c r="T19" i="2" s="1"/>
  <c r="U19" i="2" s="1"/>
  <c r="V19" i="2" s="1"/>
  <c r="L19" i="2"/>
  <c r="N19" i="2" s="1"/>
  <c r="Q19" i="2" s="1"/>
  <c r="X19" i="2" l="1"/>
  <c r="B19" i="9" s="1"/>
  <c r="H19" i="9" s="1"/>
  <c r="K21" i="2"/>
  <c r="O21" i="2"/>
  <c r="P21" i="2" s="1"/>
  <c r="W21" i="2" s="1"/>
  <c r="H18" i="9"/>
  <c r="J22" i="2"/>
  <c r="K22" i="2" s="1"/>
  <c r="S20" i="2"/>
  <c r="T20" i="2" s="1"/>
  <c r="U20" i="2" s="1"/>
  <c r="V20" i="2" s="1"/>
  <c r="L20" i="2"/>
  <c r="N20" i="2" s="1"/>
  <c r="Q20" i="2" s="1"/>
  <c r="X20" i="2" l="1"/>
  <c r="B20" i="9" s="1"/>
  <c r="G20" i="9" s="1"/>
  <c r="G19" i="9"/>
  <c r="J23" i="2"/>
  <c r="K23" i="2" s="1"/>
  <c r="O22" i="2"/>
  <c r="P22" i="2" s="1"/>
  <c r="W22" i="2" s="1"/>
  <c r="S21" i="2"/>
  <c r="T21" i="2" s="1"/>
  <c r="U21" i="2" s="1"/>
  <c r="V21" i="2" s="1"/>
  <c r="L21" i="2"/>
  <c r="Q21" i="2" l="1"/>
  <c r="N21" i="2"/>
  <c r="H20" i="9"/>
  <c r="J24" i="2"/>
  <c r="K24" i="2" s="1"/>
  <c r="O23" i="2"/>
  <c r="P23" i="2" s="1"/>
  <c r="W23" i="2" s="1"/>
  <c r="L22" i="2"/>
  <c r="N22" i="2" s="1"/>
  <c r="Q22" i="2" s="1"/>
  <c r="S22" i="2"/>
  <c r="T22" i="2" s="1"/>
  <c r="U22" i="2" s="1"/>
  <c r="V22" i="2" s="1"/>
  <c r="X22" i="2" l="1"/>
  <c r="B22" i="9" s="1"/>
  <c r="X21" i="2"/>
  <c r="B21" i="9" s="1"/>
  <c r="J25" i="2"/>
  <c r="K25" i="2" s="1"/>
  <c r="O24" i="2"/>
  <c r="P24" i="2" s="1"/>
  <c r="W24" i="2" s="1"/>
  <c r="S23" i="2"/>
  <c r="T23" i="2" s="1"/>
  <c r="U23" i="2" s="1"/>
  <c r="V23" i="2" s="1"/>
  <c r="L23" i="2"/>
  <c r="N23" i="2" s="1"/>
  <c r="Q23" i="2" s="1"/>
  <c r="G21" i="9" l="1"/>
  <c r="H21" i="9"/>
  <c r="X23" i="2"/>
  <c r="B23" i="9" s="1"/>
  <c r="H23" i="9" s="1"/>
  <c r="J26" i="2"/>
  <c r="K26" i="2" s="1"/>
  <c r="O25" i="2"/>
  <c r="P25" i="2" s="1"/>
  <c r="W25" i="2" s="1"/>
  <c r="G22" i="9"/>
  <c r="H22" i="9"/>
  <c r="S24" i="2"/>
  <c r="T24" i="2" s="1"/>
  <c r="U24" i="2" s="1"/>
  <c r="V24" i="2" s="1"/>
  <c r="L24" i="2"/>
  <c r="N24" i="2" s="1"/>
  <c r="Q24" i="2" s="1"/>
  <c r="X24" i="2" l="1"/>
  <c r="G23" i="9"/>
  <c r="J27" i="2"/>
  <c r="K27" i="2" s="1"/>
  <c r="O26" i="2"/>
  <c r="P26" i="2" s="1"/>
  <c r="W26" i="2" s="1"/>
  <c r="B24" i="9"/>
  <c r="L25" i="2"/>
  <c r="N25" i="2" s="1"/>
  <c r="Q25" i="2" s="1"/>
  <c r="S25" i="2"/>
  <c r="T25" i="2" s="1"/>
  <c r="U25" i="2" s="1"/>
  <c r="V25" i="2" s="1"/>
  <c r="X25" i="2" l="1"/>
  <c r="B25" i="9" s="1"/>
  <c r="G25" i="9" s="1"/>
  <c r="J28" i="2"/>
  <c r="K28" i="2" s="1"/>
  <c r="O27" i="2"/>
  <c r="P27" i="2" s="1"/>
  <c r="W27" i="2" s="1"/>
  <c r="L26" i="2"/>
  <c r="N26" i="2" s="1"/>
  <c r="Q26" i="2" s="1"/>
  <c r="S26" i="2"/>
  <c r="T26" i="2" s="1"/>
  <c r="U26" i="2" s="1"/>
  <c r="V26" i="2" s="1"/>
  <c r="H24" i="9"/>
  <c r="G24" i="9"/>
  <c r="X26" i="2" l="1"/>
  <c r="B26" i="9" s="1"/>
  <c r="H25" i="9"/>
  <c r="J29" i="2"/>
  <c r="K29" i="2" s="1"/>
  <c r="O28" i="2"/>
  <c r="P28" i="2" s="1"/>
  <c r="W28" i="2" s="1"/>
  <c r="S27" i="2"/>
  <c r="T27" i="2" s="1"/>
  <c r="U27" i="2" s="1"/>
  <c r="V27" i="2" s="1"/>
  <c r="L27" i="2"/>
  <c r="N27" i="2" s="1"/>
  <c r="Q27" i="2" s="1"/>
  <c r="X27" i="2" l="1"/>
  <c r="B27" i="9" s="1"/>
  <c r="H27" i="9" s="1"/>
  <c r="J30" i="2"/>
  <c r="K30" i="2" s="1"/>
  <c r="O29" i="2"/>
  <c r="P29" i="2" s="1"/>
  <c r="W29" i="2" s="1"/>
  <c r="G26" i="9"/>
  <c r="H26" i="9"/>
  <c r="S28" i="2"/>
  <c r="T28" i="2" s="1"/>
  <c r="U28" i="2" s="1"/>
  <c r="V28" i="2" s="1"/>
  <c r="L28" i="2"/>
  <c r="N28" i="2" s="1"/>
  <c r="Q28" i="2" s="1"/>
  <c r="X28" i="2" l="1"/>
  <c r="B28" i="9" s="1"/>
  <c r="G28" i="9" s="1"/>
  <c r="G27" i="9"/>
  <c r="J31" i="2"/>
  <c r="K31" i="2" s="1"/>
  <c r="O30" i="2"/>
  <c r="P30" i="2" s="1"/>
  <c r="W30" i="2" s="1"/>
  <c r="S29" i="2"/>
  <c r="T29" i="2" s="1"/>
  <c r="U29" i="2" s="1"/>
  <c r="V29" i="2" s="1"/>
  <c r="L29" i="2"/>
  <c r="N29" i="2" s="1"/>
  <c r="Q29" i="2" s="1"/>
  <c r="X29" i="2" l="1"/>
  <c r="B29" i="9" s="1"/>
  <c r="H29" i="9" s="1"/>
  <c r="H28" i="9"/>
  <c r="J32" i="2"/>
  <c r="K32" i="2" s="1"/>
  <c r="O31" i="2"/>
  <c r="P31" i="2" s="1"/>
  <c r="W31" i="2" s="1"/>
  <c r="S30" i="2"/>
  <c r="T30" i="2" s="1"/>
  <c r="U30" i="2" s="1"/>
  <c r="V30" i="2" s="1"/>
  <c r="L30" i="2"/>
  <c r="N30" i="2" s="1"/>
  <c r="Q30" i="2" s="1"/>
  <c r="X30" i="2" l="1"/>
  <c r="B30" i="9" s="1"/>
  <c r="H30" i="9" s="1"/>
  <c r="J33" i="2"/>
  <c r="O32" i="2"/>
  <c r="P32" i="2" s="1"/>
  <c r="W32" i="2" s="1"/>
  <c r="G29" i="9"/>
  <c r="S31" i="2"/>
  <c r="T31" i="2" s="1"/>
  <c r="U31" i="2" s="1"/>
  <c r="V31" i="2" s="1"/>
  <c r="L31" i="2"/>
  <c r="N31" i="2" s="1"/>
  <c r="Q31" i="2" s="1"/>
  <c r="X31" i="2" l="1"/>
  <c r="B31" i="9" s="1"/>
  <c r="H31" i="9" s="1"/>
  <c r="G30" i="9"/>
  <c r="O33" i="2"/>
  <c r="P33" i="2" s="1"/>
  <c r="W33" i="2" s="1"/>
  <c r="K33" i="2"/>
  <c r="S32" i="2"/>
  <c r="T32" i="2" s="1"/>
  <c r="U32" i="2" s="1"/>
  <c r="V32" i="2" s="1"/>
  <c r="L32" i="2"/>
  <c r="N32" i="2" s="1"/>
  <c r="Q32" i="2" s="1"/>
  <c r="X32" i="2" l="1"/>
  <c r="B32" i="9" s="1"/>
  <c r="H32" i="9" s="1"/>
  <c r="G31" i="9"/>
  <c r="S33" i="2"/>
  <c r="T33" i="2" s="1"/>
  <c r="U33" i="2" s="1"/>
  <c r="V33" i="2" s="1"/>
  <c r="L33" i="2"/>
  <c r="N33" i="2" s="1"/>
  <c r="Q33" i="2" s="1"/>
  <c r="X33" i="2" l="1"/>
  <c r="B33" i="9" s="1"/>
  <c r="G32" i="9"/>
  <c r="G33" i="9" l="1"/>
  <c r="G34" i="9" s="1"/>
  <c r="B34" i="9"/>
  <c r="H33" i="9"/>
  <c r="H3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 Envy</author>
  </authors>
  <commentList>
    <comment ref="A9" authorId="0" shapeId="0" xr:uid="{E7A715C1-39E0-4E27-87B0-10F6C249AD90}">
      <text>
        <r>
          <rPr>
            <b/>
            <sz val="9"/>
            <color indexed="81"/>
            <rFont val="Tahoma"/>
            <family val="2"/>
          </rPr>
          <t>HP Envy:</t>
        </r>
        <r>
          <rPr>
            <sz val="9"/>
            <color indexed="81"/>
            <rFont val="Tahoma"/>
            <family val="2"/>
          </rPr>
          <t xml:space="preserve">
add trucks?</t>
        </r>
      </text>
    </comment>
  </commentList>
</comments>
</file>

<file path=xl/sharedStrings.xml><?xml version="1.0" encoding="utf-8"?>
<sst xmlns="http://schemas.openxmlformats.org/spreadsheetml/2006/main" count="251" uniqueCount="148">
  <si>
    <t>Year count</t>
  </si>
  <si>
    <t>Year</t>
  </si>
  <si>
    <t>Number Cars</t>
  </si>
  <si>
    <t>Gallons fuel</t>
  </si>
  <si>
    <t>Overview</t>
  </si>
  <si>
    <t>Model</t>
  </si>
  <si>
    <t>EV Sales</t>
  </si>
  <si>
    <t>Policy Acceleration factor</t>
  </si>
  <si>
    <t>EV total</t>
  </si>
  <si>
    <t>CO2 (metric tons) emissions per gallon</t>
  </si>
  <si>
    <t xml:space="preserve">kwh usage </t>
  </si>
  <si>
    <t>kwh not renewable</t>
  </si>
  <si>
    <t>year</t>
  </si>
  <si>
    <t>ICE Sales</t>
  </si>
  <si>
    <t>Total ICE vehicles</t>
  </si>
  <si>
    <t>ICE (%)</t>
  </si>
  <si>
    <t xml:space="preserve">EV Miles </t>
  </si>
  <si>
    <t>CO2 in metric tons from EV usage</t>
  </si>
  <si>
    <t>Share  of EV to total on-road emissions</t>
  </si>
  <si>
    <t>Share  of ICE to total on-road emissions</t>
  </si>
  <si>
    <t>Base Case</t>
  </si>
  <si>
    <t>Differences</t>
  </si>
  <si>
    <t>2030-Base</t>
  </si>
  <si>
    <t>2035-Base</t>
  </si>
  <si>
    <t>2030-2035</t>
  </si>
  <si>
    <t>Total</t>
  </si>
  <si>
    <t>Sales Total</t>
  </si>
  <si>
    <t>Base Case: Share Evs</t>
  </si>
  <si>
    <t>Base Case: Total on-road auto emissions</t>
  </si>
  <si>
    <t>2030 bill: Bloomberg EV Adoption Rate (with 5% policy boost 25-29)</t>
  </si>
  <si>
    <t>2035 bill: Bloomberg EV Adoption Rate (with 5% policy boost 30-34)</t>
  </si>
  <si>
    <t>Sales number Evs 2020</t>
  </si>
  <si>
    <t>The main calculation computes the gallons of fuel used by light duty vehicles by projecting the sales &amp; total number of EV and ICE vehicles and multiplies the last named with the average annual miles driven per vehicle while putting it in relation to miles per gallon. The assumptions underlying the model are based on scientific evidence or derived from historical growth rates of the variables used. As suggested by Rietmann et el. (2019) the sales forecast of EV vehicles are based on detailed midterm consumer behavior, leading to a comparably slow start, accelerating growth followed by slowing sales. This method is used by Bloomberg in the report presenting future EV adoption rates. This scenario is used as base case and adjusted by a policy boost factor for the year before the introduction of the EV bill.</t>
  </si>
  <si>
    <t>Metric tons CO2/gallon of gasoline</t>
  </si>
  <si>
    <t>Growth rate</t>
  </si>
  <si>
    <t>Policy acceleration factor</t>
  </si>
  <si>
    <t>Washington EV policy model</t>
  </si>
  <si>
    <t>MPG growth</t>
  </si>
  <si>
    <t>Input factor EV policy model*</t>
  </si>
  <si>
    <t>Value</t>
  </si>
  <si>
    <t>Source</t>
  </si>
  <si>
    <t>Bloomberg EV adaption USA</t>
  </si>
  <si>
    <t>Comment</t>
  </si>
  <si>
    <t>United States Environmental Protection Agency. (2021). Greenhouse Gases Equivalencies Calculator - Calculations and References. https://www.epa.gov/energy/greenhouse-gases-equivalencies-calculator-calculations-and-references#:~:text=filled%20with%20gasoline-,The%20amount%20of%20carbon%20dioxide%20emitted%20per%20gallon%20of%20motor,tanker%20truck%20contains%208%2C500%20gallons. Accessed: 01/30/2021</t>
  </si>
  <si>
    <t>Number extracted</t>
  </si>
  <si>
    <t>Fueleconomy, (2020). https://www.fueleconomy.gov/feg/Find.do?action=sbs&amp;id=42278. Accessed: 30/01/2021</t>
  </si>
  <si>
    <t>United States Environmental Protection Agency. (2020). Highlights of the Automotive Trends Report. https://www.epa.gov/automotive-trends/highlights-automotive-trends-report#:~:text=Fuel%20economy%20decreased%20by%200.2,29%25%2C%20or%205.6%20mpg. Accessed: 30/01/2022</t>
  </si>
  <si>
    <t>Reuters. (2021). Electric cars rise to record 54% market share in Norway in 2020. https://www.reuters.com/article/us-autos-electric-norway/electric-cars-rise-to-record-54-market-share-in-norway-in-2020-idUKKBN29A0ZT?edition-redirect=in. Accessed: 02/03/2021</t>
  </si>
  <si>
    <t xml:space="preserve">Assumption based on increased adoption rate in Norway after the introduction of a comparable law for 2025 </t>
  </si>
  <si>
    <t xml:space="preserve">Miles driven (short + long wheel based light duty vehicles) </t>
  </si>
  <si>
    <t>Bureau of Transportation Statistics. (2019). U.S. Vehicle-Miles. https://www.bts.gov/content/us-vehicle-miles. Accessed:03/02/2021</t>
  </si>
  <si>
    <t xml:space="preserve">Total number of cars (short + long wheel based light duty vehicles) </t>
  </si>
  <si>
    <t>Growth car number total</t>
  </si>
  <si>
    <t>Miles per vehicle</t>
  </si>
  <si>
    <t>United States Department of Engery. (2021). U.S. PEV Sales by Model (In Order of Market Introduction). https://afdc.energy.gov/data/. Accessed: 05/02/2021</t>
  </si>
  <si>
    <t>Miles per gallon (MPG) 2019 and 2020 forecast</t>
  </si>
  <si>
    <t>EV Volumes. (2021). Global Plug-in Vehicle Sales Reached over 3,2 Million in 2020. https://www.ev-volumes.com/. Accessed: 05/02/2021</t>
  </si>
  <si>
    <t>Forecast 2020, state: January 2021</t>
  </si>
  <si>
    <t>Number of EV cars sold</t>
  </si>
  <si>
    <t>Historic EV Sales USA</t>
  </si>
  <si>
    <t>Source:</t>
  </si>
  <si>
    <t xml:space="preserve"> </t>
  </si>
  <si>
    <t>Source until 2019:</t>
  </si>
  <si>
    <t>Source 2020:</t>
  </si>
  <si>
    <t>Assumptions</t>
  </si>
  <si>
    <t>kwh usage per EV per mile (Tesla 3: 23 kW·h/100 mi) stays constant</t>
  </si>
  <si>
    <t>EV and ICE have the same life circle</t>
  </si>
  <si>
    <t>Cars sold in the USA between 2011 and 2020 did not get deregistered on a large scale</t>
  </si>
  <si>
    <t>Petroleum and other</t>
  </si>
  <si>
    <t>Natural gas</t>
  </si>
  <si>
    <t>Renewables</t>
  </si>
  <si>
    <t>Nuclear</t>
  </si>
  <si>
    <t>Coal</t>
  </si>
  <si>
    <t>Electricity generation outlook from selected fuels</t>
  </si>
  <si>
    <t>EIA. (2021). Annual Energy Outlook 2021. https://www.eia.gov/outlooks/aeo/electricity/sub-topic-03.php. Accessed: 02/05/2021</t>
  </si>
  <si>
    <t>Limitations</t>
  </si>
  <si>
    <t xml:space="preserve">5% of sales of t-17 years represent the scraping in t </t>
  </si>
  <si>
    <t>Average car scapping after 17 years</t>
  </si>
  <si>
    <t>Miles per vehicle / Total number of cars</t>
  </si>
  <si>
    <t>Forecasted function taken from Bloomberg, based on logistic function</t>
  </si>
  <si>
    <t>Input Tables</t>
  </si>
  <si>
    <t>The model presented in this study does not account for the whole life-cycle of Evs as only the use-phase is considered. Furthermore, no consideration was given to the fact that the provision of charging infrastructure and resources like metal inputs for battery production would be necessary in order to provide Evs on a scale suggested by the model.</t>
  </si>
  <si>
    <r>
      <t>*</t>
    </r>
    <r>
      <rPr>
        <i/>
        <sz val="12"/>
        <color theme="1"/>
        <rFont val="Calibri"/>
        <family val="2"/>
        <scheme val="minor"/>
      </rPr>
      <t>all time dependent values are annual</t>
    </r>
  </si>
  <si>
    <t>Note: The change rates presented are own calculations based on the data (see Source)</t>
  </si>
  <si>
    <t>The target of this projection is the evaluation of different policy scenarios regarding the hypothetical  implementation of the obligation to register only electric cars after a certain date and its impact on the fuel consumption in the USA. The scenarios consider a base case without any policy. Furthermore, scenarios with a EV bill introduced in 2030 and 2035 are evaluated.</t>
  </si>
  <si>
    <t xml:space="preserve">Total </t>
  </si>
  <si>
    <t>Copyright © 2021 Coltura &amp; Paul Roesler. All Rights Reserved.</t>
  </si>
  <si>
    <t xml:space="preserve">Federal Highway Administration. (2021). Federal Highway statistics 2019. https://www.fhwa.dot.gov/policyinformation/statistics/2019/mv1.cfm. Accessed: 02/16/2021 </t>
  </si>
  <si>
    <t>Assumption</t>
  </si>
  <si>
    <t>Bloomberg New Energy Finance. (2020). Electric Vehicle Outlook 2020. https://about.bnef.com/electric-vehicle-outlook/. Accessed: 01/29/2021</t>
  </si>
  <si>
    <t>63% are reached in 2040 following the forecast used</t>
  </si>
  <si>
    <t>EV dropping out</t>
  </si>
  <si>
    <t>Evs registered in USA end 2019</t>
  </si>
  <si>
    <t>Sum all states</t>
  </si>
  <si>
    <t>Base Case: Bloomberg EV Adoption Rate</t>
  </si>
  <si>
    <t>Adoption Rate in 2050</t>
  </si>
  <si>
    <t>Sales to registrations</t>
  </si>
  <si>
    <t>Miles per vehicle driven change</t>
  </si>
  <si>
    <t>Historic Vehicle Registrations &amp; Sales USA</t>
  </si>
  <si>
    <t>Registrations</t>
  </si>
  <si>
    <t>Sales</t>
  </si>
  <si>
    <t>Sales to registration growth</t>
  </si>
  <si>
    <t>EV total with adjusting  sales</t>
  </si>
  <si>
    <t>Linear growth of adaption rate to 80% in 2050 from 63% in 2040 in base case</t>
  </si>
  <si>
    <t>Policy has accelerating 5% points yearly adaption growth in the 5 years before implementation of bill</t>
  </si>
  <si>
    <t>The adaption rate will increase as projected by Bloomberg (2020) for the USA until 2040</t>
  </si>
  <si>
    <t>50% reduction</t>
  </si>
  <si>
    <t>Initial situation</t>
  </si>
  <si>
    <t>Model Outcome</t>
  </si>
  <si>
    <t>Model BAU prediction 2030, change</t>
  </si>
  <si>
    <t>LDV 2005</t>
  </si>
  <si>
    <t>Emissions</t>
  </si>
  <si>
    <t>Gasoline Usage</t>
  </si>
  <si>
    <t xml:space="preserve">https://www.eia.gov/totalenergy/data/annual/showtext.php?t=pTB0208 </t>
  </si>
  <si>
    <t xml:space="preserve">https://nepis.epa.gov/Exe/ZyPDF.cgi?Dockey=P100ZK4P.pdf </t>
  </si>
  <si>
    <t>Change if 100% EV-Adoption in 2023</t>
  </si>
  <si>
    <t>(53% in 2020)</t>
  </si>
  <si>
    <t>Comment/ Source</t>
  </si>
  <si>
    <t>50% cut in 2030 related to 2005</t>
  </si>
  <si>
    <t>Sales to population</t>
  </si>
  <si>
    <t>Barrels per year</t>
  </si>
  <si>
    <t>Gasoline Reduction in comparison to 2030</t>
  </si>
  <si>
    <t>2005 Gasoline Emissions</t>
  </si>
  <si>
    <t>kwh usage per EV per mile</t>
  </si>
  <si>
    <t xml:space="preserve"> Weighted average of the 5 most sold EV models in the USA</t>
  </si>
  <si>
    <t>Non-carbon</t>
  </si>
  <si>
    <t>average of recent years</t>
  </si>
  <si>
    <t>Target Emissions</t>
  </si>
  <si>
    <t xml:space="preserve">Upstream Metric tons CO2 eq per gallon gasoline </t>
  </si>
  <si>
    <t xml:space="preserve">https://www.statista.com/statistics/1070949/worldwide-emission-from-oil-production-by-country/ </t>
  </si>
  <si>
    <t>Upstream Emissions</t>
  </si>
  <si>
    <t>own calculation (validation: NHTS 2017, Vehicle Dataset: avg. BESTMILE: approx. 10800)</t>
  </si>
  <si>
    <t>2005 Gasoline Consumption (Gallons)</t>
  </si>
  <si>
    <t>BTS, Fuel consumption Short- &amp; Long wheel LDV Fuel Consumption</t>
  </si>
  <si>
    <t>2030 Model to 2005 emission cut</t>
  </si>
  <si>
    <t>Base  Model to 2005 emission cut</t>
  </si>
  <si>
    <t>2005 LDV and Upstream Emissions</t>
  </si>
  <si>
    <t>5 Year Averge Fleet MPG growth</t>
  </si>
  <si>
    <t>2005 Upstream Emissions</t>
  </si>
  <si>
    <t>2035 Model to 2005 emission cut</t>
  </si>
  <si>
    <t>BTS, Light Duty Vehicle, Long &amp; Short Wheel Base Fuel Consumption and Travel</t>
  </si>
  <si>
    <t>Sum of long and short wheel base LDV</t>
  </si>
  <si>
    <t>Petroleum and other (share carbon energy mix)</t>
  </si>
  <si>
    <t>Natural gas (share carbon energy mix)</t>
  </si>
  <si>
    <t>Coal (share carbon energy mix)</t>
  </si>
  <si>
    <t>Pollution Factor</t>
  </si>
  <si>
    <t xml:space="preserve">Alternative Fuel Data Center. (2021). Electric Vehicle Registration by State. https://afdc.energy.gov/data/10962. Accessed: 07.13.2021 </t>
  </si>
  <si>
    <t>MPG Growth LDV Fleet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</si>
</sst>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_-* #,##0_-;\-* #,##0_-;_-* &quot;-&quot;??_-;_-@_-"/>
    <numFmt numFmtId="166" formatCode="_(* #,##0.0000_);_(* \(#,##0.0000\);_(* &quot;-&quot;??_);_(@_)"/>
    <numFmt numFmtId="167" formatCode="_-* #,##0.000_-;\-* #,##0.000_-;_-* &quot;-&quot;??_-;_-@_-"/>
    <numFmt numFmtId="168"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8"/>
      <name val="Calibri"/>
      <family val="2"/>
      <scheme val="minor"/>
    </font>
    <font>
      <b/>
      <sz val="9"/>
      <color theme="1"/>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i/>
      <sz val="12"/>
      <color theme="1"/>
      <name val="Calibri"/>
      <family val="2"/>
      <scheme val="minor"/>
    </font>
    <font>
      <u/>
      <sz val="11"/>
      <color theme="10"/>
      <name val="Calibri"/>
      <family val="2"/>
      <scheme val="minor"/>
    </font>
    <font>
      <u/>
      <sz val="11"/>
      <color rgb="FF0070C0"/>
      <name val="Calibri"/>
      <family val="2"/>
      <scheme val="minor"/>
    </font>
    <font>
      <sz val="11"/>
      <name val="Arial Narrow"/>
      <family val="2"/>
    </font>
    <font>
      <i/>
      <sz val="11"/>
      <color theme="1"/>
      <name val="Calibri"/>
      <family val="2"/>
      <scheme val="minor"/>
    </font>
    <font>
      <sz val="9"/>
      <color indexed="81"/>
      <name val="Tahoma"/>
      <family val="2"/>
    </font>
    <font>
      <b/>
      <sz val="9"/>
      <color indexed="81"/>
      <name val="Tahoma"/>
      <family val="2"/>
    </font>
    <font>
      <sz val="10"/>
      <color rgb="FF2E2E30"/>
      <name val="Arial"/>
      <family val="2"/>
    </font>
    <font>
      <sz val="16"/>
      <color theme="1"/>
      <name val="Calibri"/>
      <family val="2"/>
      <scheme val="minor"/>
    </font>
    <font>
      <sz val="11"/>
      <color rgb="FF000000"/>
      <name val="Calibri"/>
      <family val="2"/>
      <scheme val="minor"/>
    </font>
    <font>
      <sz val="8"/>
      <name val="Helv"/>
    </font>
    <font>
      <sz val="14"/>
      <color rgb="FFFF0000"/>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right/>
      <top/>
      <bottom style="thin">
        <color indexed="22"/>
      </bottom>
      <diagonal/>
    </border>
    <border>
      <left/>
      <right/>
      <top/>
      <bottom style="thin">
        <color indexed="64"/>
      </bottom>
      <diagonal/>
    </border>
    <border>
      <left style="thin">
        <color indexed="64"/>
      </left>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3" fontId="19" fillId="0" borderId="37">
      <alignment horizontal="right" vertical="center"/>
    </xf>
  </cellStyleXfs>
  <cellXfs count="177">
    <xf numFmtId="0" fontId="0" fillId="0" borderId="0" xfId="0"/>
    <xf numFmtId="0" fontId="0" fillId="0" borderId="1" xfId="0" applyBorder="1"/>
    <xf numFmtId="0" fontId="0" fillId="0" borderId="1" xfId="0" applyBorder="1" applyAlignment="1">
      <alignment vertical="top"/>
    </xf>
    <xf numFmtId="9" fontId="0" fillId="0" borderId="1" xfId="2" applyFont="1" applyBorder="1"/>
    <xf numFmtId="0" fontId="3" fillId="0" borderId="0" xfId="0" applyFont="1"/>
    <xf numFmtId="0" fontId="0" fillId="0" borderId="0" xfId="0" applyBorder="1"/>
    <xf numFmtId="43" fontId="0" fillId="0" borderId="0" xfId="0" applyNumberFormat="1" applyBorder="1"/>
    <xf numFmtId="164" fontId="0" fillId="0" borderId="1" xfId="0" applyNumberFormat="1" applyBorder="1"/>
    <xf numFmtId="0" fontId="3" fillId="0" borderId="0" xfId="0" applyFont="1" applyBorder="1"/>
    <xf numFmtId="0" fontId="0" fillId="0" borderId="0" xfId="0" applyBorder="1" applyAlignment="1">
      <alignment vertical="top"/>
    </xf>
    <xf numFmtId="0" fontId="0" fillId="0" borderId="0" xfId="0" applyFill="1" applyBorder="1" applyAlignment="1">
      <alignment vertical="top"/>
    </xf>
    <xf numFmtId="0" fontId="0" fillId="0" borderId="0" xfId="0" applyBorder="1" applyAlignment="1">
      <alignment vertical="top" wrapText="1"/>
    </xf>
    <xf numFmtId="43" fontId="0" fillId="0" borderId="0" xfId="0" applyNumberFormat="1" applyBorder="1" applyAlignment="1">
      <alignment vertical="top"/>
    </xf>
    <xf numFmtId="9" fontId="0" fillId="0" borderId="1" xfId="2" applyFont="1" applyBorder="1" applyAlignment="1">
      <alignment vertical="top"/>
    </xf>
    <xf numFmtId="0" fontId="0" fillId="0" borderId="0" xfId="0" applyAlignment="1">
      <alignment wrapText="1"/>
    </xf>
    <xf numFmtId="0" fontId="2" fillId="0" borderId="0" xfId="0" applyFont="1"/>
    <xf numFmtId="9" fontId="0" fillId="0" borderId="0" xfId="2" applyFont="1" applyBorder="1" applyAlignment="1">
      <alignment vertical="top"/>
    </xf>
    <xf numFmtId="9" fontId="0" fillId="0" borderId="1" xfId="0" applyNumberFormat="1" applyBorder="1"/>
    <xf numFmtId="10" fontId="0" fillId="0" borderId="0" xfId="2" applyNumberFormat="1" applyFont="1" applyBorder="1" applyAlignment="1">
      <alignment vertical="center" wrapText="1"/>
    </xf>
    <xf numFmtId="0" fontId="0" fillId="2" borderId="1" xfId="0" applyFill="1" applyBorder="1"/>
    <xf numFmtId="9" fontId="0" fillId="2" borderId="1" xfId="0" applyNumberFormat="1" applyFill="1" applyBorder="1"/>
    <xf numFmtId="0" fontId="0" fillId="2" borderId="0" xfId="0" applyFill="1"/>
    <xf numFmtId="164" fontId="0" fillId="2" borderId="1" xfId="0" applyNumberFormat="1" applyFill="1" applyBorder="1"/>
    <xf numFmtId="164" fontId="0" fillId="0" borderId="0" xfId="0" applyNumberFormat="1"/>
    <xf numFmtId="43" fontId="0" fillId="0" borderId="0" xfId="2" applyNumberFormat="1" applyFont="1" applyBorder="1" applyAlignment="1">
      <alignment vertical="top"/>
    </xf>
    <xf numFmtId="10" fontId="0" fillId="0" borderId="1" xfId="2" applyNumberFormat="1" applyFont="1" applyBorder="1" applyAlignment="1">
      <alignment vertical="top"/>
    </xf>
    <xf numFmtId="10" fontId="0" fillId="2" borderId="1" xfId="2" applyNumberFormat="1" applyFont="1" applyFill="1" applyBorder="1" applyAlignment="1">
      <alignment vertical="top"/>
    </xf>
    <xf numFmtId="165" fontId="0" fillId="0" borderId="1" xfId="0" applyNumberFormat="1" applyBorder="1"/>
    <xf numFmtId="10" fontId="0" fillId="0" borderId="0" xfId="0" applyNumberFormat="1" applyBorder="1"/>
    <xf numFmtId="165" fontId="0" fillId="0" borderId="0" xfId="0" applyNumberFormat="1"/>
    <xf numFmtId="9" fontId="0" fillId="2" borderId="1" xfId="2" applyFont="1" applyFill="1" applyBorder="1"/>
    <xf numFmtId="0" fontId="5" fillId="0" borderId="0" xfId="0" applyFont="1"/>
    <xf numFmtId="164" fontId="0" fillId="0" borderId="1" xfId="1" applyNumberFormat="1" applyFont="1" applyBorder="1"/>
    <xf numFmtId="164" fontId="0" fillId="0" borderId="1" xfId="0" applyNumberFormat="1" applyBorder="1" applyAlignment="1">
      <alignment vertical="top"/>
    </xf>
    <xf numFmtId="164" fontId="0" fillId="0" borderId="1" xfId="2" applyNumberFormat="1" applyFont="1" applyBorder="1" applyAlignment="1">
      <alignment vertical="top"/>
    </xf>
    <xf numFmtId="0" fontId="6" fillId="0" borderId="1" xfId="0" applyFont="1" applyBorder="1" applyAlignment="1">
      <alignment vertical="top" wrapText="1"/>
    </xf>
    <xf numFmtId="0" fontId="6" fillId="0" borderId="1" xfId="0" applyFont="1" applyFill="1" applyBorder="1" applyAlignment="1">
      <alignment vertical="top" wrapText="1"/>
    </xf>
    <xf numFmtId="0" fontId="7" fillId="0" borderId="0" xfId="0" applyFont="1"/>
    <xf numFmtId="9" fontId="0" fillId="0" borderId="1" xfId="0" applyNumberFormat="1" applyBorder="1" applyAlignment="1">
      <alignment vertical="top"/>
    </xf>
    <xf numFmtId="0" fontId="6" fillId="0" borderId="0" xfId="0" applyFont="1" applyAlignment="1">
      <alignment wrapText="1"/>
    </xf>
    <xf numFmtId="165" fontId="0" fillId="0" borderId="1" xfId="1" applyNumberFormat="1" applyFont="1" applyBorder="1"/>
    <xf numFmtId="165" fontId="5" fillId="0" borderId="1" xfId="0" applyNumberFormat="1" applyFont="1" applyBorder="1"/>
    <xf numFmtId="164" fontId="0" fillId="0" borderId="0" xfId="0" applyNumberFormat="1" applyBorder="1"/>
    <xf numFmtId="0" fontId="6" fillId="0" borderId="9" xfId="0" applyFont="1" applyBorder="1"/>
    <xf numFmtId="0" fontId="10" fillId="0" borderId="0" xfId="3"/>
    <xf numFmtId="0" fontId="11" fillId="0" borderId="0" xfId="3" applyFont="1"/>
    <xf numFmtId="0" fontId="6" fillId="0" borderId="4" xfId="0" applyFont="1" applyBorder="1" applyAlignment="1">
      <alignment horizontal="left"/>
    </xf>
    <xf numFmtId="3" fontId="12" fillId="0" borderId="0" xfId="0" applyNumberFormat="1" applyFont="1" applyAlignment="1">
      <alignment horizontal="right"/>
    </xf>
    <xf numFmtId="0" fontId="0" fillId="0" borderId="1" xfId="0" applyBorder="1" applyAlignment="1">
      <alignment wrapText="1"/>
    </xf>
    <xf numFmtId="0" fontId="6" fillId="0" borderId="1" xfId="0" applyFont="1" applyBorder="1" applyAlignment="1">
      <alignment horizontal="left" wrapText="1"/>
    </xf>
    <xf numFmtId="164" fontId="6" fillId="0" borderId="1" xfId="1" applyNumberFormat="1" applyFont="1" applyBorder="1"/>
    <xf numFmtId="0" fontId="0" fillId="0" borderId="2" xfId="0" applyBorder="1"/>
    <xf numFmtId="9" fontId="0" fillId="0" borderId="3" xfId="2" applyFont="1" applyBorder="1"/>
    <xf numFmtId="0" fontId="0" fillId="0" borderId="4" xfId="0" applyBorder="1"/>
    <xf numFmtId="9" fontId="0" fillId="0" borderId="5" xfId="2" applyFont="1" applyBorder="1"/>
    <xf numFmtId="0" fontId="0" fillId="0" borderId="6" xfId="0" applyBorder="1"/>
    <xf numFmtId="164" fontId="6" fillId="0" borderId="12" xfId="1" applyNumberFormat="1" applyFont="1" applyBorder="1"/>
    <xf numFmtId="9" fontId="0" fillId="0" borderId="13" xfId="2" applyFont="1" applyBorder="1"/>
    <xf numFmtId="0" fontId="2" fillId="0" borderId="8" xfId="0" applyFont="1" applyBorder="1" applyAlignment="1">
      <alignment horizontal="center" vertical="top"/>
    </xf>
    <xf numFmtId="0" fontId="2" fillId="0" borderId="14" xfId="0" applyFont="1" applyBorder="1" applyAlignment="1">
      <alignment horizontal="center" vertical="top"/>
    </xf>
    <xf numFmtId="0" fontId="2" fillId="0" borderId="15" xfId="0" applyFont="1" applyBorder="1" applyAlignment="1">
      <alignment horizontal="center" vertical="top"/>
    </xf>
    <xf numFmtId="0" fontId="0" fillId="0" borderId="4" xfId="2" applyNumberFormat="1" applyFont="1" applyBorder="1"/>
    <xf numFmtId="0" fontId="0" fillId="0" borderId="6" xfId="2" applyNumberFormat="1" applyFont="1" applyBorder="1"/>
    <xf numFmtId="0" fontId="11" fillId="0" borderId="1" xfId="3" applyFont="1" applyBorder="1"/>
    <xf numFmtId="0" fontId="10" fillId="0" borderId="1" xfId="3" applyBorder="1"/>
    <xf numFmtId="43" fontId="6" fillId="0" borderId="1" xfId="1" applyFont="1" applyBorder="1"/>
    <xf numFmtId="0" fontId="6" fillId="0" borderId="1" xfId="0" applyFont="1" applyBorder="1"/>
    <xf numFmtId="2" fontId="6" fillId="0" borderId="1" xfId="0" applyNumberFormat="1" applyFont="1" applyBorder="1"/>
    <xf numFmtId="0" fontId="6" fillId="0" borderId="1" xfId="0" applyFont="1" applyFill="1" applyBorder="1"/>
    <xf numFmtId="164" fontId="6" fillId="0" borderId="11" xfId="1" applyNumberFormat="1" applyFont="1" applyBorder="1"/>
    <xf numFmtId="0" fontId="11" fillId="0" borderId="11" xfId="3" applyFont="1" applyBorder="1"/>
    <xf numFmtId="0" fontId="0" fillId="0" borderId="3" xfId="0" applyBorder="1" applyAlignment="1">
      <alignment wrapText="1"/>
    </xf>
    <xf numFmtId="0" fontId="0" fillId="0" borderId="5" xfId="0" applyBorder="1" applyAlignment="1">
      <alignment wrapText="1"/>
    </xf>
    <xf numFmtId="0" fontId="8" fillId="0" borderId="17" xfId="0" applyFont="1" applyBorder="1"/>
    <xf numFmtId="0" fontId="8" fillId="0" borderId="18" xfId="0" applyFont="1" applyBorder="1"/>
    <xf numFmtId="0" fontId="8" fillId="0" borderId="19" xfId="0" applyFont="1" applyBorder="1"/>
    <xf numFmtId="9" fontId="0" fillId="0" borderId="12" xfId="2" applyFont="1" applyBorder="1"/>
    <xf numFmtId="9" fontId="0" fillId="0" borderId="7" xfId="2" applyFont="1" applyBorder="1"/>
    <xf numFmtId="9" fontId="0" fillId="0" borderId="11" xfId="2" applyFont="1" applyBorder="1"/>
    <xf numFmtId="0" fontId="2" fillId="0" borderId="17" xfId="0" applyFont="1" applyBorder="1"/>
    <xf numFmtId="0" fontId="2" fillId="0" borderId="18" xfId="0" applyFont="1" applyBorder="1"/>
    <xf numFmtId="0" fontId="2" fillId="0" borderId="19" xfId="0" applyFont="1" applyBorder="1"/>
    <xf numFmtId="0" fontId="8" fillId="0" borderId="20" xfId="0" applyFont="1" applyBorder="1"/>
    <xf numFmtId="0" fontId="0" fillId="0" borderId="20" xfId="0" applyBorder="1"/>
    <xf numFmtId="0" fontId="0" fillId="0" borderId="16" xfId="0" applyBorder="1" applyAlignment="1">
      <alignment wrapText="1"/>
    </xf>
    <xf numFmtId="0" fontId="13" fillId="0" borderId="0" xfId="0" applyFont="1"/>
    <xf numFmtId="0" fontId="10" fillId="0" borderId="21" xfId="3" applyBorder="1"/>
    <xf numFmtId="0" fontId="16" fillId="0" borderId="0" xfId="0" applyFont="1"/>
    <xf numFmtId="0" fontId="0" fillId="0" borderId="22" xfId="0" applyBorder="1" applyAlignment="1">
      <alignment wrapText="1"/>
    </xf>
    <xf numFmtId="0" fontId="0" fillId="0" borderId="25" xfId="0" applyFill="1" applyBorder="1" applyAlignment="1">
      <alignment wrapText="1"/>
    </xf>
    <xf numFmtId="9" fontId="2" fillId="0" borderId="8" xfId="2" applyFont="1" applyBorder="1"/>
    <xf numFmtId="0" fontId="0" fillId="0" borderId="2" xfId="2" applyNumberFormat="1" applyFont="1" applyBorder="1"/>
    <xf numFmtId="164" fontId="6" fillId="0" borderId="1" xfId="1" applyNumberFormat="1" applyFont="1" applyBorder="1" applyAlignment="1">
      <alignment vertical="top" wrapText="1"/>
    </xf>
    <xf numFmtId="0" fontId="0" fillId="0" borderId="0" xfId="0" applyAlignment="1">
      <alignment vertical="top"/>
    </xf>
    <xf numFmtId="43" fontId="0" fillId="0" borderId="0" xfId="0" applyNumberFormat="1"/>
    <xf numFmtId="166" fontId="0" fillId="0" borderId="0" xfId="0" applyNumberFormat="1" applyAlignment="1">
      <alignment vertical="top"/>
    </xf>
    <xf numFmtId="43" fontId="0" fillId="0" borderId="0" xfId="0" applyNumberFormat="1" applyAlignment="1">
      <alignment vertical="top"/>
    </xf>
    <xf numFmtId="0" fontId="0" fillId="0" borderId="0" xfId="0" applyAlignment="1">
      <alignment vertical="top" wrapText="1"/>
    </xf>
    <xf numFmtId="167" fontId="0" fillId="0" borderId="0" xfId="1" applyNumberFormat="1" applyFont="1"/>
    <xf numFmtId="9" fontId="0" fillId="0" borderId="0" xfId="2" applyFont="1"/>
    <xf numFmtId="10" fontId="6" fillId="0" borderId="1" xfId="2" applyNumberFormat="1" applyFont="1" applyBorder="1"/>
    <xf numFmtId="164" fontId="0" fillId="0" borderId="5" xfId="1" applyNumberFormat="1" applyFont="1" applyBorder="1"/>
    <xf numFmtId="164" fontId="0" fillId="0" borderId="7" xfId="1" applyNumberFormat="1" applyFont="1" applyBorder="1"/>
    <xf numFmtId="164" fontId="0" fillId="0" borderId="11" xfId="1" applyNumberFormat="1" applyFont="1" applyBorder="1"/>
    <xf numFmtId="164" fontId="0" fillId="0" borderId="10" xfId="1" applyNumberFormat="1" applyFont="1" applyBorder="1"/>
    <xf numFmtId="9" fontId="2" fillId="0" borderId="27" xfId="2" applyFont="1" applyBorder="1"/>
    <xf numFmtId="164" fontId="0" fillId="0" borderId="28" xfId="1" applyNumberFormat="1" applyFont="1" applyBorder="1"/>
    <xf numFmtId="164" fontId="0" fillId="0" borderId="26" xfId="1" applyNumberFormat="1" applyFont="1" applyBorder="1"/>
    <xf numFmtId="164" fontId="0" fillId="0" borderId="29" xfId="1" applyNumberFormat="1" applyFont="1" applyBorder="1"/>
    <xf numFmtId="0" fontId="10" fillId="0" borderId="30" xfId="3" applyBorder="1"/>
    <xf numFmtId="0" fontId="2" fillId="0" borderId="3" xfId="0" applyFont="1" applyFill="1" applyBorder="1" applyAlignment="1">
      <alignment horizontal="center" vertical="top"/>
    </xf>
    <xf numFmtId="168" fontId="6" fillId="0" borderId="1" xfId="2" applyNumberFormat="1" applyFont="1" applyBorder="1"/>
    <xf numFmtId="168" fontId="0" fillId="0" borderId="1" xfId="2" applyNumberFormat="1" applyFont="1" applyBorder="1" applyAlignment="1">
      <alignment vertical="top"/>
    </xf>
    <xf numFmtId="168" fontId="6" fillId="0" borderId="26" xfId="1" applyNumberFormat="1" applyFont="1" applyBorder="1"/>
    <xf numFmtId="0" fontId="0" fillId="0" borderId="11" xfId="0" applyBorder="1"/>
    <xf numFmtId="0" fontId="0" fillId="0" borderId="5" xfId="0" applyBorder="1"/>
    <xf numFmtId="0" fontId="0" fillId="0" borderId="12" xfId="0" applyBorder="1"/>
    <xf numFmtId="0" fontId="0" fillId="0" borderId="7" xfId="0" applyBorder="1" applyAlignment="1">
      <alignment vertical="center" wrapText="1"/>
    </xf>
    <xf numFmtId="0" fontId="0" fillId="0" borderId="21" xfId="0" applyBorder="1"/>
    <xf numFmtId="0" fontId="0" fillId="0" borderId="23" xfId="0" applyBorder="1"/>
    <xf numFmtId="4" fontId="0" fillId="0" borderId="2" xfId="0" applyNumberFormat="1" applyBorder="1"/>
    <xf numFmtId="0" fontId="10" fillId="0" borderId="11" xfId="3" applyBorder="1"/>
    <xf numFmtId="0" fontId="10" fillId="0" borderId="3" xfId="3" applyBorder="1"/>
    <xf numFmtId="9" fontId="0" fillId="0" borderId="4" xfId="2" applyFont="1" applyBorder="1"/>
    <xf numFmtId="9" fontId="0" fillId="0" borderId="6" xfId="2" applyNumberFormat="1" applyFont="1" applyBorder="1"/>
    <xf numFmtId="0" fontId="2" fillId="0" borderId="14" xfId="0" applyFont="1" applyBorder="1"/>
    <xf numFmtId="164" fontId="2" fillId="0" borderId="14" xfId="0" applyNumberFormat="1" applyFont="1" applyBorder="1"/>
    <xf numFmtId="0" fontId="2" fillId="0" borderId="15" xfId="0" applyFont="1" applyBorder="1"/>
    <xf numFmtId="0" fontId="8" fillId="0" borderId="31" xfId="0" applyFont="1" applyFill="1" applyBorder="1"/>
    <xf numFmtId="0" fontId="8" fillId="0" borderId="30" xfId="0" applyFont="1" applyFill="1" applyBorder="1"/>
    <xf numFmtId="0" fontId="0" fillId="0" borderId="32" xfId="0" applyBorder="1"/>
    <xf numFmtId="0" fontId="0" fillId="0" borderId="16" xfId="0" applyBorder="1"/>
    <xf numFmtId="0" fontId="0" fillId="0" borderId="9" xfId="0" applyBorder="1"/>
    <xf numFmtId="0" fontId="0" fillId="0" borderId="33" xfId="0" applyBorder="1"/>
    <xf numFmtId="43" fontId="17" fillId="0" borderId="0" xfId="0" applyNumberFormat="1" applyFont="1"/>
    <xf numFmtId="0" fontId="10" fillId="0" borderId="5" xfId="3" applyBorder="1"/>
    <xf numFmtId="10" fontId="0" fillId="0" borderId="1" xfId="0" applyNumberFormat="1" applyBorder="1" applyAlignment="1">
      <alignment horizontal="left"/>
    </xf>
    <xf numFmtId="0" fontId="0" fillId="0" borderId="24" xfId="2" applyNumberFormat="1" applyFont="1" applyFill="1" applyBorder="1"/>
    <xf numFmtId="0" fontId="10" fillId="0" borderId="34" xfId="3" applyBorder="1"/>
    <xf numFmtId="0" fontId="0" fillId="0" borderId="35" xfId="0" applyBorder="1" applyAlignment="1">
      <alignment wrapText="1"/>
    </xf>
    <xf numFmtId="0" fontId="0" fillId="0" borderId="7" xfId="0" applyBorder="1"/>
    <xf numFmtId="0" fontId="10" fillId="0" borderId="12" xfId="3" applyBorder="1" applyAlignment="1"/>
    <xf numFmtId="3" fontId="0" fillId="0" borderId="1" xfId="0" applyNumberFormat="1" applyBorder="1"/>
    <xf numFmtId="3" fontId="18" fillId="0" borderId="1" xfId="0" applyNumberFormat="1" applyFont="1" applyBorder="1"/>
    <xf numFmtId="0" fontId="0" fillId="3" borderId="1" xfId="0" applyFill="1" applyBorder="1"/>
    <xf numFmtId="0" fontId="0" fillId="3" borderId="1" xfId="0" applyFill="1" applyBorder="1" applyAlignment="1">
      <alignment vertical="top"/>
    </xf>
    <xf numFmtId="164" fontId="0" fillId="3" borderId="1" xfId="0" applyNumberFormat="1" applyFill="1" applyBorder="1"/>
    <xf numFmtId="9" fontId="0" fillId="3" borderId="1" xfId="2" applyFont="1" applyFill="1" applyBorder="1"/>
    <xf numFmtId="164" fontId="0" fillId="3" borderId="1" xfId="0" applyNumberFormat="1" applyFill="1" applyBorder="1" applyAlignment="1">
      <alignment vertical="top"/>
    </xf>
    <xf numFmtId="168" fontId="0" fillId="3" borderId="1" xfId="2" applyNumberFormat="1" applyFont="1" applyFill="1" applyBorder="1" applyAlignment="1">
      <alignment vertical="top"/>
    </xf>
    <xf numFmtId="164" fontId="0" fillId="3" borderId="1" xfId="2" applyNumberFormat="1" applyFont="1" applyFill="1" applyBorder="1" applyAlignment="1">
      <alignment vertical="top"/>
    </xf>
    <xf numFmtId="10" fontId="0" fillId="3" borderId="1" xfId="2" applyNumberFormat="1" applyFont="1" applyFill="1" applyBorder="1" applyAlignment="1">
      <alignment vertical="top"/>
    </xf>
    <xf numFmtId="9" fontId="0" fillId="3" borderId="1" xfId="0" applyNumberFormat="1" applyFill="1" applyBorder="1"/>
    <xf numFmtId="164" fontId="0" fillId="3" borderId="1" xfId="1" applyNumberFormat="1" applyFont="1" applyFill="1" applyBorder="1"/>
    <xf numFmtId="0" fontId="0" fillId="3" borderId="0" xfId="0" applyFill="1"/>
    <xf numFmtId="164" fontId="0" fillId="0" borderId="0" xfId="1" applyNumberFormat="1" applyFont="1" applyBorder="1"/>
    <xf numFmtId="0" fontId="0" fillId="0" borderId="1" xfId="0" applyFill="1" applyBorder="1"/>
    <xf numFmtId="168" fontId="0" fillId="0" borderId="0" xfId="2" applyNumberFormat="1" applyFont="1"/>
    <xf numFmtId="168" fontId="20" fillId="0" borderId="1" xfId="2" applyNumberFormat="1" applyFont="1" applyBorder="1"/>
    <xf numFmtId="0" fontId="0" fillId="0" borderId="38" xfId="0" applyBorder="1"/>
    <xf numFmtId="10" fontId="6" fillId="0" borderId="1" xfId="0" applyNumberFormat="1" applyFont="1" applyBorder="1"/>
    <xf numFmtId="10" fontId="6" fillId="0" borderId="0" xfId="0" applyNumberFormat="1" applyFont="1" applyBorder="1"/>
    <xf numFmtId="9" fontId="6" fillId="0" borderId="1" xfId="0" applyNumberFormat="1" applyFont="1" applyBorder="1"/>
    <xf numFmtId="9" fontId="6" fillId="0" borderId="10" xfId="0" applyNumberFormat="1" applyFont="1" applyBorder="1"/>
    <xf numFmtId="0" fontId="6" fillId="0" borderId="36" xfId="0" applyFont="1" applyBorder="1"/>
    <xf numFmtId="9" fontId="0" fillId="3" borderId="1" xfId="0" applyNumberFormat="1" applyFill="1" applyBorder="1" applyAlignment="1">
      <alignment vertical="top"/>
    </xf>
    <xf numFmtId="9" fontId="0" fillId="0" borderId="0" xfId="0" applyNumberFormat="1" applyBorder="1"/>
    <xf numFmtId="0" fontId="2" fillId="0" borderId="2" xfId="0" applyFont="1" applyBorder="1"/>
    <xf numFmtId="0" fontId="2" fillId="0" borderId="11" xfId="0" applyFont="1" applyBorder="1"/>
    <xf numFmtId="0" fontId="2" fillId="0" borderId="3" xfId="0" applyFont="1" applyBorder="1"/>
    <xf numFmtId="0" fontId="0" fillId="0" borderId="0" xfId="0" applyBorder="1" applyAlignment="1"/>
    <xf numFmtId="2" fontId="0" fillId="0" borderId="5" xfId="0" applyNumberFormat="1" applyBorder="1"/>
    <xf numFmtId="2" fontId="0" fillId="0" borderId="7" xfId="0" applyNumberFormat="1" applyBorder="1"/>
    <xf numFmtId="164" fontId="21" fillId="0" borderId="39" xfId="1" applyNumberFormat="1" applyFont="1" applyBorder="1"/>
    <xf numFmtId="0" fontId="6" fillId="0" borderId="2" xfId="0" applyFont="1" applyBorder="1" applyAlignment="1">
      <alignment horizontal="left"/>
    </xf>
    <xf numFmtId="3" fontId="6" fillId="0" borderId="0" xfId="0" applyNumberFormat="1" applyFont="1" applyBorder="1"/>
    <xf numFmtId="0" fontId="6" fillId="0" borderId="6" xfId="0" applyFont="1" applyBorder="1" applyAlignment="1">
      <alignment horizontal="left"/>
    </xf>
  </cellXfs>
  <cellStyles count="5">
    <cellStyle name="Comma" xfId="1" builtinId="3"/>
    <cellStyle name="Data_Sheet1 (2)_1" xfId="4" xr:uid="{3D6C77DE-65CC-4BCB-95A9-F71C22606A0B}"/>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solidFill>
                  <a:schemeClr val="tx1"/>
                </a:solidFill>
              </a:rPr>
              <a:t>USA EV (light duty</a:t>
            </a:r>
            <a:r>
              <a:rPr lang="en-US" baseline="0">
                <a:solidFill>
                  <a:schemeClr val="tx1"/>
                </a:solidFill>
              </a:rPr>
              <a:t> car)</a:t>
            </a:r>
            <a:r>
              <a:rPr lang="en-US">
                <a:solidFill>
                  <a:schemeClr val="tx1"/>
                </a:solidFill>
              </a:rPr>
              <a:t> as share</a:t>
            </a:r>
            <a:r>
              <a:rPr lang="en-US" baseline="0">
                <a:solidFill>
                  <a:schemeClr val="tx1"/>
                </a:solidFill>
              </a:rPr>
              <a:t> of total  fleet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Base_case!$L$1</c:f>
              <c:strCache>
                <c:ptCount val="1"/>
                <c:pt idx="0">
                  <c:v>Base Case: Share Evs</c:v>
                </c:pt>
              </c:strCache>
            </c:strRef>
          </c:tx>
          <c:spPr>
            <a:ln w="22225" cap="rnd" cmpd="sng" algn="ctr">
              <a:solidFill>
                <a:schemeClr val="accent2"/>
              </a:solidFill>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Base_case!$L$3:$L$33</c:f>
              <c:numCache>
                <c:formatCode>0.00%</c:formatCode>
                <c:ptCount val="31"/>
                <c:pt idx="0">
                  <c:v>4.0157724203466897E-3</c:v>
                </c:pt>
                <c:pt idx="1">
                  <c:v>6.3959012106613979E-3</c:v>
                </c:pt>
                <c:pt idx="2">
                  <c:v>9.3752150899418622E-3</c:v>
                </c:pt>
                <c:pt idx="3">
                  <c:v>1.2955079070974068E-2</c:v>
                </c:pt>
                <c:pt idx="4">
                  <c:v>1.744293823592169E-2</c:v>
                </c:pt>
                <c:pt idx="5">
                  <c:v>2.4071160488821901E-2</c:v>
                </c:pt>
                <c:pt idx="6">
                  <c:v>3.253529061146903E-2</c:v>
                </c:pt>
                <c:pt idx="7">
                  <c:v>4.3460791506274431E-2</c:v>
                </c:pt>
                <c:pt idx="8">
                  <c:v>5.6787535257333488E-2</c:v>
                </c:pt>
                <c:pt idx="9">
                  <c:v>7.2458054754302892E-2</c:v>
                </c:pt>
                <c:pt idx="10">
                  <c:v>9.0450243035705966E-2</c:v>
                </c:pt>
                <c:pt idx="11">
                  <c:v>0.10920580531576389</c:v>
                </c:pt>
                <c:pt idx="12">
                  <c:v>0.13073565941613571</c:v>
                </c:pt>
                <c:pt idx="13">
                  <c:v>0.15486679431021633</c:v>
                </c:pt>
                <c:pt idx="14">
                  <c:v>0.18164377760448436</c:v>
                </c:pt>
                <c:pt idx="15">
                  <c:v>0.21062286187909032</c:v>
                </c:pt>
                <c:pt idx="16">
                  <c:v>0.24148020662039268</c:v>
                </c:pt>
                <c:pt idx="17">
                  <c:v>0.27409394395411796</c:v>
                </c:pt>
                <c:pt idx="18">
                  <c:v>0.30748707192393654</c:v>
                </c:pt>
                <c:pt idx="19">
                  <c:v>0.34211076504204951</c:v>
                </c:pt>
                <c:pt idx="20">
                  <c:v>0.37796932360620711</c:v>
                </c:pt>
                <c:pt idx="21">
                  <c:v>0.4140669659840237</c:v>
                </c:pt>
                <c:pt idx="22">
                  <c:v>0.44933162625420281</c:v>
                </c:pt>
                <c:pt idx="23">
                  <c:v>0.48403342628388718</c:v>
                </c:pt>
                <c:pt idx="24">
                  <c:v>0.51763043356906679</c:v>
                </c:pt>
                <c:pt idx="25">
                  <c:v>0.55012216579169393</c:v>
                </c:pt>
                <c:pt idx="26">
                  <c:v>0.58150807269103788</c:v>
                </c:pt>
                <c:pt idx="27">
                  <c:v>0.61178753611647052</c:v>
                </c:pt>
                <c:pt idx="28">
                  <c:v>0.64239907366065085</c:v>
                </c:pt>
                <c:pt idx="29">
                  <c:v>0.67167597870526152</c:v>
                </c:pt>
                <c:pt idx="30">
                  <c:v>0.69961704005898406</c:v>
                </c:pt>
              </c:numCache>
            </c:numRef>
          </c:val>
          <c:smooth val="0"/>
          <c:extLst>
            <c:ext xmlns:c16="http://schemas.microsoft.com/office/drawing/2014/chart" uri="{C3380CC4-5D6E-409C-BE32-E72D297353CC}">
              <c16:uniqueId val="{00000008-353F-44A0-96DB-60A57F39761E}"/>
            </c:ext>
          </c:extLst>
        </c:ser>
        <c:ser>
          <c:idx val="1"/>
          <c:order val="1"/>
          <c:tx>
            <c:v>2030 bill: Share EVs</c:v>
          </c:tx>
          <c:spPr>
            <a:ln w="22225" cap="rnd" cmpd="sng" algn="ctr">
              <a:solidFill>
                <a:schemeClr val="accent4"/>
              </a:solidFill>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'2030'!$K$3:$K$33</c:f>
              <c:numCache>
                <c:formatCode>0.00%</c:formatCode>
                <c:ptCount val="31"/>
                <c:pt idx="0">
                  <c:v>4.0157724203466897E-3</c:v>
                </c:pt>
                <c:pt idx="1">
                  <c:v>6.3959012106613979E-3</c:v>
                </c:pt>
                <c:pt idx="2">
                  <c:v>9.3752150899418622E-3</c:v>
                </c:pt>
                <c:pt idx="3">
                  <c:v>1.2955079070974068E-2</c:v>
                </c:pt>
                <c:pt idx="4">
                  <c:v>1.744293823592169E-2</c:v>
                </c:pt>
                <c:pt idx="5">
                  <c:v>2.7146914248206276E-2</c:v>
                </c:pt>
                <c:pt idx="6">
                  <c:v>4.17688986830939E-2</c:v>
                </c:pt>
                <c:pt idx="7">
                  <c:v>6.1940881546622834E-2</c:v>
                </c:pt>
                <c:pt idx="8">
                  <c:v>8.760944244351454E-2</c:v>
                </c:pt>
                <c:pt idx="9">
                  <c:v>0.11872400231665846</c:v>
                </c:pt>
                <c:pt idx="10">
                  <c:v>0.180496886083756</c:v>
                </c:pt>
                <c:pt idx="11">
                  <c:v>0.24201904494058002</c:v>
                </c:pt>
                <c:pt idx="12">
                  <c:v>0.30339065502361667</c:v>
                </c:pt>
                <c:pt idx="13">
                  <c:v>0.36443497706392741</c:v>
                </c:pt>
                <c:pt idx="14">
                  <c:v>0.42519267523783233</c:v>
                </c:pt>
                <c:pt idx="15">
                  <c:v>0.48521592352363879</c:v>
                </c:pt>
                <c:pt idx="16">
                  <c:v>0.54521637594679162</c:v>
                </c:pt>
                <c:pt idx="17">
                  <c:v>0.60506988121361605</c:v>
                </c:pt>
                <c:pt idx="18">
                  <c:v>0.6637970397259283</c:v>
                </c:pt>
                <c:pt idx="19">
                  <c:v>0.72184651414898171</c:v>
                </c:pt>
                <c:pt idx="20">
                  <c:v>0.77921997874012161</c:v>
                </c:pt>
                <c:pt idx="21">
                  <c:v>0.83565178887537783</c:v>
                </c:pt>
                <c:pt idx="22">
                  <c:v>0.88738243439680831</c:v>
                </c:pt>
                <c:pt idx="23">
                  <c:v>0.9346750810630724</c:v>
                </c:pt>
                <c:pt idx="24">
                  <c:v>0.97698061157919691</c:v>
                </c:pt>
                <c:pt idx="25">
                  <c:v>1</c:v>
                </c:pt>
                <c:pt idx="26">
                  <c:v>1</c:v>
                </c:pt>
                <c:pt idx="27">
                  <c:v>1</c:v>
                </c:pt>
                <c:pt idx="28">
                  <c:v>1</c:v>
                </c:pt>
                <c:pt idx="29">
                  <c:v>1</c:v>
                </c:pt>
                <c:pt idx="30">
                  <c:v>1</c:v>
                </c:pt>
              </c:numCache>
            </c:numRef>
          </c:val>
          <c:smooth val="0"/>
          <c:extLst>
            <c:ext xmlns:c16="http://schemas.microsoft.com/office/drawing/2014/chart" uri="{C3380CC4-5D6E-409C-BE32-E72D297353CC}">
              <c16:uniqueId val="{00000009-353F-44A0-96DB-60A57F39761E}"/>
            </c:ext>
          </c:extLst>
        </c:ser>
        <c:ser>
          <c:idx val="2"/>
          <c:order val="2"/>
          <c:tx>
            <c:v>2035 bill: Share EVs</c:v>
          </c:tx>
          <c:spPr>
            <a:ln w="22225" cap="rnd" cmpd="sng" algn="ctr">
              <a:solidFill>
                <a:schemeClr val="accent6"/>
              </a:solidFill>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'2035'!$K$3:$K$33</c:f>
              <c:numCache>
                <c:formatCode>0.00%</c:formatCode>
                <c:ptCount val="31"/>
                <c:pt idx="0">
                  <c:v>4.0157724203466897E-3</c:v>
                </c:pt>
                <c:pt idx="1">
                  <c:v>6.3959012106613979E-3</c:v>
                </c:pt>
                <c:pt idx="2">
                  <c:v>9.3752150899418622E-3</c:v>
                </c:pt>
                <c:pt idx="3">
                  <c:v>1.2955079070974068E-2</c:v>
                </c:pt>
                <c:pt idx="4">
                  <c:v>1.744293823592169E-2</c:v>
                </c:pt>
                <c:pt idx="5">
                  <c:v>2.4071160488821901E-2</c:v>
                </c:pt>
                <c:pt idx="6">
                  <c:v>3.253529061146903E-2</c:v>
                </c:pt>
                <c:pt idx="7">
                  <c:v>4.3460791506274431E-2</c:v>
                </c:pt>
                <c:pt idx="8">
                  <c:v>5.6787535257333488E-2</c:v>
                </c:pt>
                <c:pt idx="9">
                  <c:v>7.2458054754302892E-2</c:v>
                </c:pt>
                <c:pt idx="10">
                  <c:v>9.3603663431828327E-2</c:v>
                </c:pt>
                <c:pt idx="11">
                  <c:v>0.11867257356209124</c:v>
                </c:pt>
                <c:pt idx="12">
                  <c:v>0.14968239488792348</c:v>
                </c:pt>
                <c:pt idx="13">
                  <c:v>0.1864669932766472</c:v>
                </c:pt>
                <c:pt idx="14">
                  <c:v>0.22907799831994949</c:v>
                </c:pt>
                <c:pt idx="15">
                  <c:v>0.29065771229558035</c:v>
                </c:pt>
                <c:pt idx="16">
                  <c:v>0.35220227750625754</c:v>
                </c:pt>
                <c:pt idx="17">
                  <c:v>0.4135876406972131</c:v>
                </c:pt>
                <c:pt idx="18">
                  <c:v>0.47383449953108425</c:v>
                </c:pt>
                <c:pt idx="19">
                  <c:v>0.53339161316203321</c:v>
                </c:pt>
                <c:pt idx="20">
                  <c:v>0.59226075157052993</c:v>
                </c:pt>
                <c:pt idx="21">
                  <c:v>0.65017636509602095</c:v>
                </c:pt>
                <c:pt idx="22">
                  <c:v>0.70606513989807984</c:v>
                </c:pt>
                <c:pt idx="23">
                  <c:v>0.76019587794778998</c:v>
                </c:pt>
                <c:pt idx="24">
                  <c:v>0.81202525488841515</c:v>
                </c:pt>
                <c:pt idx="25">
                  <c:v>0.86155132460915207</c:v>
                </c:pt>
                <c:pt idx="26">
                  <c:v>0.90877200112950796</c:v>
                </c:pt>
                <c:pt idx="27">
                  <c:v>0.95093112910947153</c:v>
                </c:pt>
                <c:pt idx="28">
                  <c:v>0.98945986388079432</c:v>
                </c:pt>
                <c:pt idx="29">
                  <c:v>1</c:v>
                </c:pt>
                <c:pt idx="30">
                  <c:v>1</c:v>
                </c:pt>
              </c:numCache>
            </c:numRef>
          </c:val>
          <c:smooth val="0"/>
          <c:extLst>
            <c:ext xmlns:c16="http://schemas.microsoft.com/office/drawing/2014/chart" uri="{C3380CC4-5D6E-409C-BE32-E72D297353CC}">
              <c16:uniqueId val="{0000000B-353F-44A0-96DB-60A57F39761E}"/>
            </c:ext>
          </c:extLst>
        </c:ser>
        <c:dLbls>
          <c:showLegendKey val="0"/>
          <c:showVal val="0"/>
          <c:showCatName val="0"/>
          <c:showSerName val="0"/>
          <c:showPercent val="0"/>
          <c:showBubbleSize val="0"/>
        </c:dLbls>
        <c:dropLines>
          <c:spPr>
            <a:ln w="9525" cap="flat" cmpd="sng" algn="ctr">
              <a:solidFill>
                <a:schemeClr val="tx1">
                  <a:lumMod val="95000"/>
                  <a:lumOff val="5000"/>
                  <a:alpha val="33000"/>
                </a:schemeClr>
              </a:solidFill>
              <a:round/>
            </a:ln>
            <a:effectLst/>
          </c:spPr>
        </c:dropLines>
        <c:smooth val="0"/>
        <c:axId val="1703328976"/>
        <c:axId val="1703316496"/>
      </c:lineChart>
      <c:catAx>
        <c:axId val="17033289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3316496"/>
        <c:crosses val="autoZero"/>
        <c:auto val="1"/>
        <c:lblAlgn val="ctr"/>
        <c:lblOffset val="100"/>
        <c:noMultiLvlLbl val="0"/>
      </c:catAx>
      <c:valAx>
        <c:axId val="1703316496"/>
        <c:scaling>
          <c:orientation val="minMax"/>
          <c:max val="1"/>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33289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solidFill>
                  <a:sysClr val="windowText" lastClr="000000"/>
                </a:solidFill>
              </a:rPr>
              <a:t>USA EV </a:t>
            </a:r>
            <a:r>
              <a:rPr lang="en-US" sz="1400" b="0" i="0" u="none" strike="noStrike" cap="none" baseline="0">
                <a:solidFill>
                  <a:sysClr val="windowText" lastClr="000000"/>
                </a:solidFill>
                <a:effectLst/>
              </a:rPr>
              <a:t>(light duty car) </a:t>
            </a:r>
            <a:r>
              <a:rPr lang="en-US">
                <a:solidFill>
                  <a:sysClr val="windowText" lastClr="000000"/>
                </a:solidFill>
              </a:rPr>
              <a:t> adoption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Base_case!$E$1</c:f>
              <c:strCache>
                <c:ptCount val="1"/>
                <c:pt idx="0">
                  <c:v>Base Case: Bloomberg EV Adoption Rate</c:v>
                </c:pt>
              </c:strCache>
            </c:strRef>
          </c:tx>
          <c:spPr>
            <a:ln w="22225" cap="rnd" cmpd="sng" algn="ctr">
              <a:solidFill>
                <a:schemeClr val="accent2"/>
              </a:solidFill>
              <a:round/>
            </a:ln>
            <a:effectLst/>
          </c:spPr>
          <c:marker>
            <c:symbol val="none"/>
          </c:marker>
          <c:cat>
            <c:numRef>
              <c:f>'2035'!$C$3:$C$34</c:f>
              <c:numCache>
                <c:formatCode>General</c:formatCode>
                <c:ptCount val="32"/>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Base_case!$E$3:$E$33</c:f>
              <c:numCache>
                <c:formatCode>0%</c:formatCode>
                <c:ptCount val="31"/>
                <c:pt idx="0">
                  <c:v>2.2810420439861406E-2</c:v>
                </c:pt>
                <c:pt idx="1">
                  <c:v>0.04</c:v>
                </c:pt>
                <c:pt idx="2">
                  <c:v>0.05</c:v>
                </c:pt>
                <c:pt idx="3">
                  <c:v>0.06</c:v>
                </c:pt>
                <c:pt idx="4">
                  <c:v>7.4999999999999997E-2</c:v>
                </c:pt>
                <c:pt idx="5">
                  <c:v>0.11</c:v>
                </c:pt>
                <c:pt idx="6">
                  <c:v>0.14000000000000001</c:v>
                </c:pt>
                <c:pt idx="7">
                  <c:v>0.18</c:v>
                </c:pt>
                <c:pt idx="8">
                  <c:v>0.22</c:v>
                </c:pt>
                <c:pt idx="9">
                  <c:v>0.26</c:v>
                </c:pt>
                <c:pt idx="10">
                  <c:v>0.3</c:v>
                </c:pt>
                <c:pt idx="11">
                  <c:v>0.314</c:v>
                </c:pt>
                <c:pt idx="12">
                  <c:v>0.35799999999999998</c:v>
                </c:pt>
                <c:pt idx="13">
                  <c:v>0.40200000000000002</c:v>
                </c:pt>
                <c:pt idx="14">
                  <c:v>0.44600000000000001</c:v>
                </c:pt>
                <c:pt idx="15">
                  <c:v>0.49</c:v>
                </c:pt>
                <c:pt idx="16">
                  <c:v>0.51800000000000002</c:v>
                </c:pt>
                <c:pt idx="17">
                  <c:v>0.54600000000000004</c:v>
                </c:pt>
                <c:pt idx="18">
                  <c:v>0.57399999999999995</c:v>
                </c:pt>
                <c:pt idx="19">
                  <c:v>0.60199999999999998</c:v>
                </c:pt>
                <c:pt idx="20">
                  <c:v>0.63</c:v>
                </c:pt>
                <c:pt idx="21">
                  <c:v>0.64700000000000002</c:v>
                </c:pt>
                <c:pt idx="22">
                  <c:v>0.66400000000000003</c:v>
                </c:pt>
                <c:pt idx="23">
                  <c:v>0.68100000000000005</c:v>
                </c:pt>
                <c:pt idx="24">
                  <c:v>0.69800000000000006</c:v>
                </c:pt>
                <c:pt idx="25">
                  <c:v>0.71500000000000008</c:v>
                </c:pt>
                <c:pt idx="26">
                  <c:v>0.7320000000000001</c:v>
                </c:pt>
                <c:pt idx="27">
                  <c:v>0.74900000000000011</c:v>
                </c:pt>
                <c:pt idx="28">
                  <c:v>0.76600000000000013</c:v>
                </c:pt>
                <c:pt idx="29">
                  <c:v>0.78300000000000014</c:v>
                </c:pt>
                <c:pt idx="30">
                  <c:v>0.8</c:v>
                </c:pt>
              </c:numCache>
            </c:numRef>
          </c:val>
          <c:smooth val="0"/>
          <c:extLst>
            <c:ext xmlns:c16="http://schemas.microsoft.com/office/drawing/2014/chart" uri="{C3380CC4-5D6E-409C-BE32-E72D297353CC}">
              <c16:uniqueId val="{00000004-367D-47DB-8FE9-7A77E1A14B4C}"/>
            </c:ext>
          </c:extLst>
        </c:ser>
        <c:ser>
          <c:idx val="1"/>
          <c:order val="1"/>
          <c:tx>
            <c:strRef>
              <c:f>'2030'!$E$1</c:f>
              <c:strCache>
                <c:ptCount val="1"/>
                <c:pt idx="0">
                  <c:v>2030 bill: Bloomberg EV Adoption Rate (with 5% policy boost 25-29)</c:v>
                </c:pt>
              </c:strCache>
            </c:strRef>
          </c:tx>
          <c:spPr>
            <a:ln w="22225" cap="rnd" cmpd="sng" algn="ctr">
              <a:solidFill>
                <a:schemeClr val="accent4"/>
              </a:solidFill>
              <a:round/>
            </a:ln>
            <a:effectLst/>
          </c:spPr>
          <c:marker>
            <c:symbol val="none"/>
          </c:marker>
          <c:cat>
            <c:numRef>
              <c:f>'2035'!$C$3:$C$34</c:f>
              <c:numCache>
                <c:formatCode>General</c:formatCode>
                <c:ptCount val="32"/>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'2030'!$E$3:$E$33</c:f>
              <c:numCache>
                <c:formatCode>0%</c:formatCode>
                <c:ptCount val="31"/>
                <c:pt idx="0">
                  <c:v>2.1538066078555591E-2</c:v>
                </c:pt>
                <c:pt idx="1">
                  <c:v>0.04</c:v>
                </c:pt>
                <c:pt idx="2">
                  <c:v>0.05</c:v>
                </c:pt>
                <c:pt idx="3">
                  <c:v>0.06</c:v>
                </c:pt>
                <c:pt idx="4">
                  <c:v>7.4999999999999997E-2</c:v>
                </c:pt>
                <c:pt idx="5">
                  <c:v>0.16</c:v>
                </c:pt>
                <c:pt idx="6">
                  <c:v>0.24000000000000002</c:v>
                </c:pt>
                <c:pt idx="7">
                  <c:v>0.32999999999999996</c:v>
                </c:pt>
                <c:pt idx="8">
                  <c:v>0.42000000000000004</c:v>
                </c:pt>
                <c:pt idx="9">
                  <c:v>0.51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smooth val="0"/>
          <c:extLst>
            <c:ext xmlns:c16="http://schemas.microsoft.com/office/drawing/2014/chart" uri="{C3380CC4-5D6E-409C-BE32-E72D297353CC}">
              <c16:uniqueId val="{00000005-367D-47DB-8FE9-7A77E1A14B4C}"/>
            </c:ext>
          </c:extLst>
        </c:ser>
        <c:ser>
          <c:idx val="2"/>
          <c:order val="2"/>
          <c:tx>
            <c:strRef>
              <c:f>'2035'!$E$1</c:f>
              <c:strCache>
                <c:ptCount val="1"/>
                <c:pt idx="0">
                  <c:v>2035 bill: Bloomberg EV Adoption Rate (with 5% policy boost 30-34)</c:v>
                </c:pt>
              </c:strCache>
            </c:strRef>
          </c:tx>
          <c:spPr>
            <a:ln w="22225" cap="rnd" cmpd="sng" algn="ctr">
              <a:solidFill>
                <a:schemeClr val="accent6"/>
              </a:solidFill>
              <a:round/>
            </a:ln>
            <a:effectLst/>
          </c:spPr>
          <c:marker>
            <c:symbol val="none"/>
          </c:marker>
          <c:cat>
            <c:numRef>
              <c:f>'2035'!$C$3:$C$34</c:f>
              <c:numCache>
                <c:formatCode>General</c:formatCode>
                <c:ptCount val="32"/>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'2035'!$E$3:$E$33</c:f>
              <c:numCache>
                <c:formatCode>0%</c:formatCode>
                <c:ptCount val="31"/>
                <c:pt idx="0">
                  <c:v>2.1538066078555591E-2</c:v>
                </c:pt>
                <c:pt idx="1">
                  <c:v>0.04</c:v>
                </c:pt>
                <c:pt idx="2">
                  <c:v>0.05</c:v>
                </c:pt>
                <c:pt idx="3">
                  <c:v>0.06</c:v>
                </c:pt>
                <c:pt idx="4">
                  <c:v>7.4999999999999997E-2</c:v>
                </c:pt>
                <c:pt idx="5">
                  <c:v>0.11</c:v>
                </c:pt>
                <c:pt idx="6">
                  <c:v>0.14000000000000001</c:v>
                </c:pt>
                <c:pt idx="7">
                  <c:v>0.18</c:v>
                </c:pt>
                <c:pt idx="8">
                  <c:v>0.22</c:v>
                </c:pt>
                <c:pt idx="9">
                  <c:v>0.26</c:v>
                </c:pt>
                <c:pt idx="10">
                  <c:v>0.35</c:v>
                </c:pt>
                <c:pt idx="11">
                  <c:v>0.41400000000000003</c:v>
                </c:pt>
                <c:pt idx="12">
                  <c:v>0.50800000000000001</c:v>
                </c:pt>
                <c:pt idx="13">
                  <c:v>0.60200000000000009</c:v>
                </c:pt>
                <c:pt idx="14">
                  <c:v>0.69599999999999995</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smooth val="0"/>
          <c:extLst>
            <c:ext xmlns:c16="http://schemas.microsoft.com/office/drawing/2014/chart" uri="{C3380CC4-5D6E-409C-BE32-E72D297353CC}">
              <c16:uniqueId val="{00000006-367D-47DB-8FE9-7A77E1A14B4C}"/>
            </c:ext>
          </c:extLst>
        </c:ser>
        <c:dLbls>
          <c:showLegendKey val="0"/>
          <c:showVal val="0"/>
          <c:showCatName val="0"/>
          <c:showSerName val="0"/>
          <c:showPercent val="0"/>
          <c:showBubbleSize val="0"/>
        </c:dLbls>
        <c:dropLines>
          <c:spPr>
            <a:ln w="9525" cap="flat" cmpd="sng" algn="ctr">
              <a:solidFill>
                <a:schemeClr val="tx1">
                  <a:alpha val="33000"/>
                </a:schemeClr>
              </a:solidFill>
              <a:round/>
            </a:ln>
            <a:effectLst/>
          </c:spPr>
        </c:dropLines>
        <c:smooth val="0"/>
        <c:axId val="1703328976"/>
        <c:axId val="1703316496"/>
      </c:lineChart>
      <c:catAx>
        <c:axId val="17033289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3316496"/>
        <c:crosses val="autoZero"/>
        <c:auto val="1"/>
        <c:lblAlgn val="ctr"/>
        <c:lblOffset val="100"/>
        <c:noMultiLvlLbl val="0"/>
      </c:catAx>
      <c:valAx>
        <c:axId val="170331649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33289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USA TOTAL GASOLINE</a:t>
            </a:r>
            <a:r>
              <a:rPr lang="en-US" baseline="0"/>
              <a:t> USAGE</a:t>
            </a:r>
            <a:r>
              <a:rPr lang="en-US"/>
              <a:t> LIGHT DUTY VEHICLE &amp; UPSTREAM EMISSIONS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BAU: No Policy</c:v>
          </c:tx>
          <c:spPr>
            <a:ln w="63500" cap="rnd">
              <a:solidFill>
                <a:schemeClr val="tx1"/>
              </a:solidFill>
              <a:round/>
            </a:ln>
            <a:effectLst>
              <a:outerShdw blurRad="57150" dist="19050" dir="5400000" algn="ctr" rotWithShape="0">
                <a:srgbClr val="000000">
                  <a:alpha val="63000"/>
                </a:srgbClr>
              </a:outerShdw>
            </a:effectLst>
          </c:spPr>
          <c:marker>
            <c:symbol val="none"/>
          </c:marker>
          <c:cat>
            <c:numRef>
              <c:f>'2035'!$C$3:$C$33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Base_case!$X$3:$X$33</c:f>
              <c:numCache>
                <c:formatCode>_(* #,##0_);_(* \(#,##0\);_(* "-"??_);_(@_)</c:formatCode>
                <c:ptCount val="31"/>
                <c:pt idx="0">
                  <c:v>1320466371.809464</c:v>
                </c:pt>
                <c:pt idx="1">
                  <c:v>1317467763.1735768</c:v>
                </c:pt>
                <c:pt idx="2">
                  <c:v>1313862910.6465662</c:v>
                </c:pt>
                <c:pt idx="3">
                  <c:v>1309634448.0134084</c:v>
                </c:pt>
                <c:pt idx="4">
                  <c:v>1304353069.1651633</c:v>
                </c:pt>
                <c:pt idx="5">
                  <c:v>1296894098.9751232</c:v>
                </c:pt>
                <c:pt idx="6">
                  <c:v>1287398763.1471882</c:v>
                </c:pt>
                <c:pt idx="7">
                  <c:v>1275384066.1457007</c:v>
                </c:pt>
                <c:pt idx="8">
                  <c:v>1260911215.8798044</c:v>
                </c:pt>
                <c:pt idx="9">
                  <c:v>1243912816.7198622</c:v>
                </c:pt>
                <c:pt idx="10">
                  <c:v>1224408224.5791745</c:v>
                </c:pt>
                <c:pt idx="11">
                  <c:v>1204271417.3594711</c:v>
                </c:pt>
                <c:pt idx="12">
                  <c:v>1181236405.6757798</c:v>
                </c:pt>
                <c:pt idx="13">
                  <c:v>1155427377.503243</c:v>
                </c:pt>
                <c:pt idx="14">
                  <c:v>1126681872.9208002</c:v>
                </c:pt>
                <c:pt idx="15">
                  <c:v>1095452284.3928738</c:v>
                </c:pt>
                <c:pt idx="16">
                  <c:v>1062563342.3583248</c:v>
                </c:pt>
                <c:pt idx="17">
                  <c:v>1028148023.4684985</c:v>
                </c:pt>
                <c:pt idx="18">
                  <c:v>993003425.64845407</c:v>
                </c:pt>
                <c:pt idx="19">
                  <c:v>956884801.744537</c:v>
                </c:pt>
                <c:pt idx="20">
                  <c:v>919492154.01387429</c:v>
                </c:pt>
                <c:pt idx="21">
                  <c:v>881777301.58131027</c:v>
                </c:pt>
                <c:pt idx="22">
                  <c:v>845418840.74533331</c:v>
                </c:pt>
                <c:pt idx="23">
                  <c:v>809730110.77373004</c:v>
                </c:pt>
                <c:pt idx="24">
                  <c:v>775111448.71208644</c:v>
                </c:pt>
                <c:pt idx="25">
                  <c:v>741331129.27303851</c:v>
                </c:pt>
                <c:pt idx="26">
                  <c:v>708541438.10149407</c:v>
                </c:pt>
                <c:pt idx="27">
                  <c:v>676710121.6724894</c:v>
                </c:pt>
                <c:pt idx="28">
                  <c:v>645624233.67947316</c:v>
                </c:pt>
                <c:pt idx="29">
                  <c:v>615959516.20612752</c:v>
                </c:pt>
                <c:pt idx="30">
                  <c:v>587686854.70979142</c:v>
                </c:pt>
              </c:numCache>
            </c:numRef>
          </c:val>
          <c:smooth val="0"/>
          <c:extLst>
            <c:ext xmlns:c16="http://schemas.microsoft.com/office/drawing/2014/chart" uri="{C3380CC4-5D6E-409C-BE32-E72D297353CC}">
              <c16:uniqueId val="{00000000-CE68-4C5A-A5AB-9CE4F97B9512}"/>
            </c:ext>
          </c:extLst>
        </c:ser>
        <c:ser>
          <c:idx val="2"/>
          <c:order val="1"/>
          <c:tx>
            <c:v>2035 100% EV Adoption Policy</c:v>
          </c:tx>
          <c:spPr>
            <a:ln w="63500" cap="rnd">
              <a:solidFill>
                <a:schemeClr val="accent4">
                  <a:lumMod val="75000"/>
                </a:schemeClr>
              </a:solidFill>
              <a:round/>
            </a:ln>
            <a:effectLst>
              <a:outerShdw blurRad="57150" dist="19050" dir="5400000" algn="ctr" rotWithShape="0">
                <a:srgbClr val="000000">
                  <a:alpha val="63000"/>
                </a:srgbClr>
              </a:outerShdw>
            </a:effectLst>
          </c:spPr>
          <c:marker>
            <c:symbol val="none"/>
          </c:marker>
          <c:cat>
            <c:numRef>
              <c:f>'2035'!$C$3:$C$33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'2035'!$W$3:$W$33</c:f>
              <c:numCache>
                <c:formatCode>_(* #,##0_);_(* \(#,##0\);_(* "-"??_);_(@_)</c:formatCode>
                <c:ptCount val="31"/>
                <c:pt idx="0">
                  <c:v>1320466371.809464</c:v>
                </c:pt>
                <c:pt idx="1">
                  <c:v>1317467763.1735768</c:v>
                </c:pt>
                <c:pt idx="2">
                  <c:v>1313862910.6465662</c:v>
                </c:pt>
                <c:pt idx="3">
                  <c:v>1309634448.0134084</c:v>
                </c:pt>
                <c:pt idx="4">
                  <c:v>1304353069.1651633</c:v>
                </c:pt>
                <c:pt idx="5">
                  <c:v>1296894098.9751232</c:v>
                </c:pt>
                <c:pt idx="6">
                  <c:v>1287398763.1471882</c:v>
                </c:pt>
                <c:pt idx="7">
                  <c:v>1275384066.1457007</c:v>
                </c:pt>
                <c:pt idx="8">
                  <c:v>1260911215.8798044</c:v>
                </c:pt>
                <c:pt idx="9">
                  <c:v>1243912816.7198622</c:v>
                </c:pt>
                <c:pt idx="10">
                  <c:v>1221099874.7839196</c:v>
                </c:pt>
                <c:pt idx="11">
                  <c:v>1194345050.3675046</c:v>
                </c:pt>
                <c:pt idx="12">
                  <c:v>1161378991.8453283</c:v>
                </c:pt>
                <c:pt idx="13">
                  <c:v>1122309305.6981287</c:v>
                </c:pt>
                <c:pt idx="14">
                  <c:v>1076927529.8983462</c:v>
                </c:pt>
                <c:pt idx="15">
                  <c:v>1011384721.4421678</c:v>
                </c:pt>
                <c:pt idx="16">
                  <c:v>946283184.9005481</c:v>
                </c:pt>
                <c:pt idx="17">
                  <c:v>881833969.79048061</c:v>
                </c:pt>
                <c:pt idx="18">
                  <c:v>818740745.68207538</c:v>
                </c:pt>
                <c:pt idx="19">
                  <c:v>756879274.28136671</c:v>
                </c:pt>
                <c:pt idx="20">
                  <c:v>695779673.41651523</c:v>
                </c:pt>
                <c:pt idx="21">
                  <c:v>635567645.59871542</c:v>
                </c:pt>
                <c:pt idx="22">
                  <c:v>578237496.05458093</c:v>
                </c:pt>
                <c:pt idx="23">
                  <c:v>522868958.90989077</c:v>
                </c:pt>
                <c:pt idx="24">
                  <c:v>469766893.35146844</c:v>
                </c:pt>
                <c:pt idx="25">
                  <c:v>418567939.8504315</c:v>
                </c:pt>
                <c:pt idx="26">
                  <c:v>369512776.94668835</c:v>
                </c:pt>
                <c:pt idx="27">
                  <c:v>325406151.50085306</c:v>
                </c:pt>
                <c:pt idx="28">
                  <c:v>286736737.09181315</c:v>
                </c:pt>
                <c:pt idx="29">
                  <c:v>276999367.12399703</c:v>
                </c:pt>
                <c:pt idx="30">
                  <c:v>278042186.17030895</c:v>
                </c:pt>
              </c:numCache>
            </c:numRef>
          </c:val>
          <c:smooth val="0"/>
          <c:extLst>
            <c:ext xmlns:c16="http://schemas.microsoft.com/office/drawing/2014/chart" uri="{C3380CC4-5D6E-409C-BE32-E72D297353CC}">
              <c16:uniqueId val="{00000003-CE68-4C5A-A5AB-9CE4F97B9512}"/>
            </c:ext>
          </c:extLst>
        </c:ser>
        <c:ser>
          <c:idx val="1"/>
          <c:order val="2"/>
          <c:tx>
            <c:v>2030 100% EV Adoption Policy</c:v>
          </c:tx>
          <c:spPr>
            <a:ln w="63500" cap="rnd">
              <a:solidFill>
                <a:srgbClr val="00B050"/>
              </a:solidFill>
              <a:round/>
            </a:ln>
            <a:effectLst>
              <a:outerShdw blurRad="57150" dist="19050" dir="5400000" algn="ctr" rotWithShape="0">
                <a:srgbClr val="000000">
                  <a:alpha val="63000"/>
                </a:srgbClr>
              </a:outerShdw>
            </a:effectLst>
          </c:spPr>
          <c:marker>
            <c:symbol val="none"/>
          </c:marker>
          <c:cat>
            <c:numRef>
              <c:f>'2035'!$C$3:$C$33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'2030'!$W$3:$W$33</c:f>
              <c:numCache>
                <c:formatCode>_(* #,##0_);_(* \(#,##0\);_(* "-"??_);_(@_)</c:formatCode>
                <c:ptCount val="31"/>
                <c:pt idx="0">
                  <c:v>1320466371.809464</c:v>
                </c:pt>
                <c:pt idx="1">
                  <c:v>1317467763.1735768</c:v>
                </c:pt>
                <c:pt idx="2">
                  <c:v>1313862910.6465662</c:v>
                </c:pt>
                <c:pt idx="3">
                  <c:v>1309634448.0134084</c:v>
                </c:pt>
                <c:pt idx="4">
                  <c:v>1304353069.1651633</c:v>
                </c:pt>
                <c:pt idx="5">
                  <c:v>1293696084.6577723</c:v>
                </c:pt>
                <c:pt idx="6">
                  <c:v>1277749762.7708647</c:v>
                </c:pt>
                <c:pt idx="7">
                  <c:v>1256041344.5407164</c:v>
                </c:pt>
                <c:pt idx="8">
                  <c:v>1228650530.6232233</c:v>
                </c:pt>
                <c:pt idx="9">
                  <c:v>1195440779.5316947</c:v>
                </c:pt>
                <c:pt idx="10">
                  <c:v>1129937536.9861925</c:v>
                </c:pt>
                <c:pt idx="11">
                  <c:v>1065010275.2670416</c:v>
                </c:pt>
                <c:pt idx="12">
                  <c:v>1000282715.6441838</c:v>
                </c:pt>
                <c:pt idx="13">
                  <c:v>935792870.39530802</c:v>
                </c:pt>
                <c:pt idx="14">
                  <c:v>871220410.44041443</c:v>
                </c:pt>
                <c:pt idx="15">
                  <c:v>807023314.06929088</c:v>
                </c:pt>
                <c:pt idx="16">
                  <c:v>743580060.05228162</c:v>
                </c:pt>
                <c:pt idx="17">
                  <c:v>680989462.32214677</c:v>
                </c:pt>
                <c:pt idx="18">
                  <c:v>619739283.35857821</c:v>
                </c:pt>
                <c:pt idx="19">
                  <c:v>559828590.7164793</c:v>
                </c:pt>
                <c:pt idx="20">
                  <c:v>500601019.38450283</c:v>
                </c:pt>
                <c:pt idx="21">
                  <c:v>442157978.4965595</c:v>
                </c:pt>
                <c:pt idx="22">
                  <c:v>389541451.38057524</c:v>
                </c:pt>
                <c:pt idx="23">
                  <c:v>341630326.06762254</c:v>
                </c:pt>
                <c:pt idx="24">
                  <c:v>298676179.80776334</c:v>
                </c:pt>
                <c:pt idx="25">
                  <c:v>275080617.69291413</c:v>
                </c:pt>
                <c:pt idx="26">
                  <c:v>275005244.55693978</c:v>
                </c:pt>
                <c:pt idx="27">
                  <c:v>274577860.7360093</c:v>
                </c:pt>
                <c:pt idx="28">
                  <c:v>275837427.31062043</c:v>
                </c:pt>
                <c:pt idx="29">
                  <c:v>276999367.12399703</c:v>
                </c:pt>
                <c:pt idx="30">
                  <c:v>278042186.17030895</c:v>
                </c:pt>
              </c:numCache>
            </c:numRef>
          </c:val>
          <c:smooth val="0"/>
          <c:extLst>
            <c:ext xmlns:c16="http://schemas.microsoft.com/office/drawing/2014/chart" uri="{C3380CC4-5D6E-409C-BE32-E72D297353CC}">
              <c16:uniqueId val="{00000002-CE68-4C5A-A5AB-9CE4F97B9512}"/>
            </c:ext>
          </c:extLst>
        </c:ser>
        <c:ser>
          <c:idx val="3"/>
          <c:order val="3"/>
          <c:tx>
            <c:v>2030 50% Reduction Target compared to 2005</c:v>
          </c:tx>
          <c:spPr>
            <a:ln w="63500" cap="rnd">
              <a:solidFill>
                <a:srgbClr val="C00000"/>
              </a:solidFill>
              <a:prstDash val="dash"/>
              <a:round/>
            </a:ln>
            <a:effectLst>
              <a:outerShdw blurRad="57150" dist="19050" dir="5400000" algn="ctr" rotWithShape="0">
                <a:srgbClr val="000000">
                  <a:alpha val="63000"/>
                </a:srgbClr>
              </a:outerShdw>
            </a:effectLst>
          </c:spPr>
          <c:marker>
            <c:symbol val="none"/>
          </c:marker>
          <c:val>
            <c:numRef>
              <c:f>Base_case!$Y$3:$Y$33</c:f>
              <c:numCache>
                <c:formatCode>_(* #,##0_);_(* \(#,##0\);_(* "-"??_);_(@_)</c:formatCode>
                <c:ptCount val="31"/>
                <c:pt idx="0">
                  <c:v>697616532.42611539</c:v>
                </c:pt>
                <c:pt idx="1">
                  <c:v>697616532.42611539</c:v>
                </c:pt>
                <c:pt idx="2">
                  <c:v>697616532.42611539</c:v>
                </c:pt>
                <c:pt idx="3">
                  <c:v>697616532.42611539</c:v>
                </c:pt>
                <c:pt idx="4">
                  <c:v>697616532.42611539</c:v>
                </c:pt>
                <c:pt idx="5">
                  <c:v>697616532.42611539</c:v>
                </c:pt>
                <c:pt idx="6">
                  <c:v>697616532.42611539</c:v>
                </c:pt>
                <c:pt idx="7">
                  <c:v>697616532.42611539</c:v>
                </c:pt>
                <c:pt idx="8">
                  <c:v>697616532.42611539</c:v>
                </c:pt>
                <c:pt idx="9">
                  <c:v>697616532.42611539</c:v>
                </c:pt>
                <c:pt idx="10">
                  <c:v>697616532.42611539</c:v>
                </c:pt>
                <c:pt idx="11">
                  <c:v>697616532.42611539</c:v>
                </c:pt>
                <c:pt idx="12">
                  <c:v>697616532.42611539</c:v>
                </c:pt>
                <c:pt idx="13">
                  <c:v>697616532.42611539</c:v>
                </c:pt>
                <c:pt idx="14">
                  <c:v>697616532.42611539</c:v>
                </c:pt>
                <c:pt idx="15">
                  <c:v>697616532.42611539</c:v>
                </c:pt>
                <c:pt idx="16">
                  <c:v>697616532.42611539</c:v>
                </c:pt>
                <c:pt idx="17">
                  <c:v>697616532.42611539</c:v>
                </c:pt>
                <c:pt idx="18">
                  <c:v>697616532.42611539</c:v>
                </c:pt>
                <c:pt idx="19">
                  <c:v>697616532.42611539</c:v>
                </c:pt>
                <c:pt idx="20">
                  <c:v>697616532.42611539</c:v>
                </c:pt>
                <c:pt idx="21">
                  <c:v>697616532.42611539</c:v>
                </c:pt>
                <c:pt idx="22">
                  <c:v>697616532.42611539</c:v>
                </c:pt>
                <c:pt idx="23">
                  <c:v>697616532.42611539</c:v>
                </c:pt>
                <c:pt idx="24">
                  <c:v>697616532.42611539</c:v>
                </c:pt>
                <c:pt idx="25">
                  <c:v>697616532.42611539</c:v>
                </c:pt>
                <c:pt idx="26">
                  <c:v>697616532.42611539</c:v>
                </c:pt>
                <c:pt idx="27">
                  <c:v>697616532.42611539</c:v>
                </c:pt>
                <c:pt idx="28">
                  <c:v>697616532.42611539</c:v>
                </c:pt>
                <c:pt idx="29">
                  <c:v>697616532.42611539</c:v>
                </c:pt>
                <c:pt idx="30">
                  <c:v>697616532.42611539</c:v>
                </c:pt>
              </c:numCache>
            </c:numRef>
          </c:val>
          <c:smooth val="0"/>
          <c:extLst>
            <c:ext xmlns:c16="http://schemas.microsoft.com/office/drawing/2014/chart" uri="{C3380CC4-5D6E-409C-BE32-E72D297353CC}">
              <c16:uniqueId val="{00000001-416B-4223-BBF5-6ADD8E6635B4}"/>
            </c:ext>
          </c:extLst>
        </c:ser>
        <c:ser>
          <c:idx val="4"/>
          <c:order val="4"/>
          <c:tx>
            <c:v>2005 LDV and Upstream Emissions</c:v>
          </c:tx>
          <c:spPr>
            <a:ln w="63500" cap="rnd">
              <a:solidFill>
                <a:srgbClr val="FF0000"/>
              </a:solidFill>
              <a:prstDash val="dash"/>
              <a:round/>
            </a:ln>
            <a:effectLst>
              <a:outerShdw blurRad="57150" dist="19050" dir="5400000" algn="ctr" rotWithShape="0">
                <a:srgbClr val="000000">
                  <a:alpha val="63000"/>
                </a:srgbClr>
              </a:outerShdw>
            </a:effectLst>
          </c:spPr>
          <c:marker>
            <c:symbol val="none"/>
          </c:marker>
          <c:val>
            <c:numRef>
              <c:f>Base_case!$Z$3:$Z$33</c:f>
              <c:numCache>
                <c:formatCode>#,##0</c:formatCode>
                <c:ptCount val="31"/>
                <c:pt idx="0">
                  <c:v>1395233064.8522308</c:v>
                </c:pt>
                <c:pt idx="1">
                  <c:v>1395233064.8522308</c:v>
                </c:pt>
                <c:pt idx="2">
                  <c:v>1395233064.8522308</c:v>
                </c:pt>
                <c:pt idx="3">
                  <c:v>1395233064.8522308</c:v>
                </c:pt>
                <c:pt idx="4">
                  <c:v>1395233064.8522308</c:v>
                </c:pt>
                <c:pt idx="5">
                  <c:v>1395233064.8522308</c:v>
                </c:pt>
                <c:pt idx="6">
                  <c:v>1395233064.8522308</c:v>
                </c:pt>
                <c:pt idx="7">
                  <c:v>1395233064.8522308</c:v>
                </c:pt>
                <c:pt idx="8">
                  <c:v>1395233064.8522308</c:v>
                </c:pt>
                <c:pt idx="9">
                  <c:v>1395233064.8522308</c:v>
                </c:pt>
                <c:pt idx="10">
                  <c:v>1395233064.8522308</c:v>
                </c:pt>
                <c:pt idx="11">
                  <c:v>1395233064.8522308</c:v>
                </c:pt>
                <c:pt idx="12">
                  <c:v>1395233064.8522308</c:v>
                </c:pt>
                <c:pt idx="13">
                  <c:v>1395233064.8522308</c:v>
                </c:pt>
                <c:pt idx="14">
                  <c:v>1395233064.8522308</c:v>
                </c:pt>
                <c:pt idx="15">
                  <c:v>1395233064.8522308</c:v>
                </c:pt>
                <c:pt idx="16">
                  <c:v>1395233064.8522308</c:v>
                </c:pt>
                <c:pt idx="17">
                  <c:v>1395233064.8522308</c:v>
                </c:pt>
                <c:pt idx="18">
                  <c:v>1395233064.8522308</c:v>
                </c:pt>
                <c:pt idx="19">
                  <c:v>1395233064.8522308</c:v>
                </c:pt>
                <c:pt idx="20">
                  <c:v>1395233064.8522308</c:v>
                </c:pt>
                <c:pt idx="21">
                  <c:v>1395233064.8522308</c:v>
                </c:pt>
                <c:pt idx="22">
                  <c:v>1395233064.8522308</c:v>
                </c:pt>
                <c:pt idx="23">
                  <c:v>1395233064.8522308</c:v>
                </c:pt>
                <c:pt idx="24">
                  <c:v>1395233064.8522308</c:v>
                </c:pt>
                <c:pt idx="25">
                  <c:v>1395233064.8522308</c:v>
                </c:pt>
                <c:pt idx="26">
                  <c:v>1395233064.8522308</c:v>
                </c:pt>
                <c:pt idx="27">
                  <c:v>1395233064.8522308</c:v>
                </c:pt>
                <c:pt idx="28">
                  <c:v>1395233064.8522308</c:v>
                </c:pt>
                <c:pt idx="29">
                  <c:v>1395233064.8522308</c:v>
                </c:pt>
                <c:pt idx="30">
                  <c:v>1395233064.8522308</c:v>
                </c:pt>
              </c:numCache>
            </c:numRef>
          </c:val>
          <c:smooth val="0"/>
          <c:extLst>
            <c:ext xmlns:c16="http://schemas.microsoft.com/office/drawing/2014/chart" uri="{C3380CC4-5D6E-409C-BE32-E72D297353CC}">
              <c16:uniqueId val="{00000001-A3FF-44EC-9B8D-D622CC399AF2}"/>
            </c:ext>
          </c:extLst>
        </c:ser>
        <c:ser>
          <c:idx val="5"/>
          <c:order val="5"/>
          <c:tx>
            <c:v>BAU: Accelerated MPG Growth</c:v>
          </c:tx>
          <c:spPr>
            <a:ln w="63500" cap="rnd">
              <a:solidFill>
                <a:srgbClr val="0070C0"/>
              </a:solidFill>
              <a:round/>
            </a:ln>
            <a:effectLst>
              <a:outerShdw blurRad="57150" dist="19050" dir="5400000" algn="ctr" rotWithShape="0">
                <a:srgbClr val="000000">
                  <a:alpha val="63000"/>
                </a:srgbClr>
              </a:outerShdw>
            </a:effectLst>
          </c:spPr>
          <c:marker>
            <c:symbol val="none"/>
          </c:marker>
          <c:val>
            <c:numRef>
              <c:f>Base_case!$AA$3:$AA$33</c:f>
              <c:numCache>
                <c:formatCode>General</c:formatCode>
                <c:ptCount val="31"/>
                <c:pt idx="0">
                  <c:v>1320466371.809464</c:v>
                </c:pt>
                <c:pt idx="1">
                  <c:v>1306343123.582202</c:v>
                </c:pt>
                <c:pt idx="2">
                  <c:v>1291782898.2467923</c:v>
                </c:pt>
                <c:pt idx="3">
                  <c:v>1276786483.5161295</c:v>
                </c:pt>
                <c:pt idx="4">
                  <c:v>1260955956.6057322</c:v>
                </c:pt>
                <c:pt idx="5">
                  <c:v>1243261776.966284</c:v>
                </c:pt>
                <c:pt idx="6">
                  <c:v>1223891584.6953249</c:v>
                </c:pt>
                <c:pt idx="7">
                  <c:v>1202465544.7941771</c:v>
                </c:pt>
                <c:pt idx="8">
                  <c:v>1179113765.6203079</c:v>
                </c:pt>
                <c:pt idx="9">
                  <c:v>1153834111.2856133</c:v>
                </c:pt>
                <c:pt idx="10">
                  <c:v>1126711284.8461394</c:v>
                </c:pt>
                <c:pt idx="11">
                  <c:v>1099501741.6068404</c:v>
                </c:pt>
                <c:pt idx="12">
                  <c:v>1070213575.4320178</c:v>
                </c:pt>
                <c:pt idx="13">
                  <c:v>1039024435.1066658</c:v>
                </c:pt>
                <c:pt idx="14">
                  <c:v>1005849103.4126616</c:v>
                </c:pt>
                <c:pt idx="15">
                  <c:v>971140705.86555016</c:v>
                </c:pt>
                <c:pt idx="16">
                  <c:v>935726109.28940535</c:v>
                </c:pt>
                <c:pt idx="17">
                  <c:v>899762549.71269274</c:v>
                </c:pt>
                <c:pt idx="18">
                  <c:v>863906400.96070087</c:v>
                </c:pt>
                <c:pt idx="19">
                  <c:v>828014119.90003526</c:v>
                </c:pt>
                <c:pt idx="20">
                  <c:v>791811807.30317473</c:v>
                </c:pt>
                <c:pt idx="21">
                  <c:v>756062432.24135876</c:v>
                </c:pt>
                <c:pt idx="22">
                  <c:v>722201478.68603885</c:v>
                </c:pt>
                <c:pt idx="23">
                  <c:v>689572627.99996567</c:v>
                </c:pt>
                <c:pt idx="24">
                  <c:v>658420413.83332825</c:v>
                </c:pt>
                <c:pt idx="25">
                  <c:v>628474132.01137626</c:v>
                </c:pt>
                <c:pt idx="26">
                  <c:v>599847716.21190631</c:v>
                </c:pt>
                <c:pt idx="27">
                  <c:v>572471175.91932678</c:v>
                </c:pt>
                <c:pt idx="28">
                  <c:v>546493393.84950197</c:v>
                </c:pt>
                <c:pt idx="29">
                  <c:v>522114605.50302404</c:v>
                </c:pt>
                <c:pt idx="30">
                  <c:v>499263463.16113597</c:v>
                </c:pt>
              </c:numCache>
            </c:numRef>
          </c:val>
          <c:smooth val="0"/>
          <c:extLst>
            <c:ext xmlns:c16="http://schemas.microsoft.com/office/drawing/2014/chart" uri="{C3380CC4-5D6E-409C-BE32-E72D297353CC}">
              <c16:uniqueId val="{00000001-EBA6-47A9-8A2F-47887AEAEDE5}"/>
            </c:ext>
          </c:extLst>
        </c:ser>
        <c:dLbls>
          <c:showLegendKey val="0"/>
          <c:showVal val="0"/>
          <c:showCatName val="0"/>
          <c:showSerName val="0"/>
          <c:showPercent val="0"/>
          <c:showBubbleSize val="0"/>
        </c:dLbls>
        <c:smooth val="0"/>
        <c:axId val="363099759"/>
        <c:axId val="363099343"/>
      </c:lineChart>
      <c:catAx>
        <c:axId val="3630997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63099343"/>
        <c:crosses val="autoZero"/>
        <c:auto val="1"/>
        <c:lblAlgn val="ctr"/>
        <c:lblOffset val="100"/>
        <c:tickLblSkip val="2"/>
        <c:noMultiLvlLbl val="0"/>
      </c:catAx>
      <c:valAx>
        <c:axId val="363099343"/>
        <c:scaling>
          <c:orientation val="minMax"/>
          <c:max val="150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Million</a:t>
                </a:r>
                <a:r>
                  <a:rPr lang="en-US" sz="1600" baseline="0"/>
                  <a:t> </a:t>
                </a:r>
                <a:r>
                  <a:rPr lang="en-US" sz="1600"/>
                  <a:t>Metric Tons of CO2eq</a:t>
                </a:r>
              </a:p>
            </c:rich>
          </c:tx>
          <c:layout>
            <c:manualLayout>
              <c:xMode val="edge"/>
              <c:yMode val="edge"/>
              <c:x val="1.4560768224880798E-2"/>
              <c:y val="0.20360839877283723"/>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3099759"/>
        <c:crosses val="autoZero"/>
        <c:crossBetween val="between"/>
        <c:dispUnits>
          <c:builtInUnit val="million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USA</a:t>
            </a:r>
            <a:r>
              <a:rPr lang="en-US" baseline="0">
                <a:solidFill>
                  <a:sysClr val="windowText" lastClr="000000"/>
                </a:solidFill>
              </a:rPr>
              <a:t> d</a:t>
            </a:r>
            <a:r>
              <a:rPr lang="en-US">
                <a:solidFill>
                  <a:sysClr val="windowText" lastClr="000000"/>
                </a:solidFill>
              </a:rPr>
              <a:t>ifference</a:t>
            </a:r>
            <a:r>
              <a:rPr lang="en-US" baseline="0">
                <a:solidFill>
                  <a:sysClr val="windowText" lastClr="000000"/>
                </a:solidFill>
              </a:rPr>
              <a:t> of CO2 emissions between 2030 and 2035 EV bill scenario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'Emission differences'!$I$2</c:f>
              <c:strCache>
                <c:ptCount val="1"/>
                <c:pt idx="0">
                  <c:v>2030-2035</c:v>
                </c:pt>
              </c:strCache>
            </c:strRef>
          </c:tx>
          <c:spPr>
            <a:solidFill>
              <a:schemeClr val="accent6"/>
            </a:solidFill>
            <a:ln>
              <a:noFill/>
            </a:ln>
            <a:effectLst/>
          </c:spPr>
          <c:invertIfNegative val="0"/>
          <c:cat>
            <c:numRef>
              <c:f>'Emission differences'!$A$3:$A$33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'Emission differences'!$I$3:$I$33</c:f>
              <c:numCache>
                <c:formatCode>_-* #,##0_-;\-* #,##0_-;_-* "-"??_-;_-@_-</c:formatCode>
                <c:ptCount val="31"/>
                <c:pt idx="0">
                  <c:v>0</c:v>
                </c:pt>
                <c:pt idx="1">
                  <c:v>0</c:v>
                </c:pt>
                <c:pt idx="2">
                  <c:v>0</c:v>
                </c:pt>
                <c:pt idx="3">
                  <c:v>0</c:v>
                </c:pt>
                <c:pt idx="4">
                  <c:v>0</c:v>
                </c:pt>
                <c:pt idx="5">
                  <c:v>-3198014.3173508644</c:v>
                </c:pt>
                <c:pt idx="6">
                  <c:v>-9649000.3763234615</c:v>
                </c:pt>
                <c:pt idx="7">
                  <c:v>-19342721.604984283</c:v>
                </c:pt>
                <c:pt idx="8">
                  <c:v>-32260685.256581068</c:v>
                </c:pt>
                <c:pt idx="9">
                  <c:v>-48472037.188167572</c:v>
                </c:pt>
                <c:pt idx="10">
                  <c:v>-91162337.797727108</c:v>
                </c:pt>
                <c:pt idx="11">
                  <c:v>-129334775.10046303</c:v>
                </c:pt>
                <c:pt idx="12">
                  <c:v>-161096276.20114458</c:v>
                </c:pt>
                <c:pt idx="13">
                  <c:v>-186516435.30282068</c:v>
                </c:pt>
                <c:pt idx="14">
                  <c:v>-205707119.45793176</c:v>
                </c:pt>
                <c:pt idx="15">
                  <c:v>-204361407.37287688</c:v>
                </c:pt>
                <c:pt idx="16">
                  <c:v>-202703124.84826648</c:v>
                </c:pt>
                <c:pt idx="17">
                  <c:v>-200844507.46833384</c:v>
                </c:pt>
                <c:pt idx="18">
                  <c:v>-199001462.32349718</c:v>
                </c:pt>
                <c:pt idx="19">
                  <c:v>-197050683.5648874</c:v>
                </c:pt>
                <c:pt idx="20">
                  <c:v>-195178654.0320124</c:v>
                </c:pt>
                <c:pt idx="21">
                  <c:v>-193409667.10215592</c:v>
                </c:pt>
                <c:pt idx="22">
                  <c:v>-188696044.67400569</c:v>
                </c:pt>
                <c:pt idx="23">
                  <c:v>-181238632.84226823</c:v>
                </c:pt>
                <c:pt idx="24">
                  <c:v>-171090713.54370511</c:v>
                </c:pt>
                <c:pt idx="25">
                  <c:v>-143487322.15751737</c:v>
                </c:pt>
                <c:pt idx="26">
                  <c:v>-94507532.389748573</c:v>
                </c:pt>
                <c:pt idx="27">
                  <c:v>-50828290.764843762</c:v>
                </c:pt>
                <c:pt idx="28">
                  <c:v>-10899309.78119272</c:v>
                </c:pt>
                <c:pt idx="29">
                  <c:v>0</c:v>
                </c:pt>
                <c:pt idx="30">
                  <c:v>0</c:v>
                </c:pt>
              </c:numCache>
            </c:numRef>
          </c:val>
          <c:extLst>
            <c:ext xmlns:c16="http://schemas.microsoft.com/office/drawing/2014/chart" uri="{C3380CC4-5D6E-409C-BE32-E72D297353CC}">
              <c16:uniqueId val="{00000000-9A28-426A-B1DB-4C49D239B183}"/>
            </c:ext>
          </c:extLst>
        </c:ser>
        <c:dLbls>
          <c:showLegendKey val="0"/>
          <c:showVal val="0"/>
          <c:showCatName val="0"/>
          <c:showSerName val="0"/>
          <c:showPercent val="0"/>
          <c:showBubbleSize val="0"/>
        </c:dLbls>
        <c:gapWidth val="0"/>
        <c:axId val="363090607"/>
        <c:axId val="363074799"/>
      </c:barChart>
      <c:catAx>
        <c:axId val="36309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74799"/>
        <c:crosses val="autoZero"/>
        <c:auto val="1"/>
        <c:lblAlgn val="ctr"/>
        <c:lblOffset val="100"/>
        <c:noMultiLvlLbl val="0"/>
      </c:catAx>
      <c:valAx>
        <c:axId val="3630747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r>
                  <a:rPr lang="en-US" baseline="0"/>
                  <a:t> emissions (metric tons)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9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USA</a:t>
            </a:r>
            <a:r>
              <a:rPr lang="en-US" baseline="0">
                <a:solidFill>
                  <a:sysClr val="windowText" lastClr="000000"/>
                </a:solidFill>
              </a:rPr>
              <a:t> </a:t>
            </a:r>
            <a:r>
              <a:rPr lang="en-US">
                <a:solidFill>
                  <a:sysClr val="windowText" lastClr="000000"/>
                </a:solidFill>
              </a:rPr>
              <a:t>CO2 emission differences between</a:t>
            </a:r>
            <a:r>
              <a:rPr lang="en-US" baseline="0">
                <a:solidFill>
                  <a:sysClr val="windowText" lastClr="000000"/>
                </a:solidFill>
              </a:rPr>
              <a:t> policy scearios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'Emission differences'!$F$34</c:f>
              <c:strCache>
                <c:ptCount val="1"/>
                <c:pt idx="0">
                  <c:v>Total</c:v>
                </c:pt>
              </c:strCache>
            </c:strRef>
          </c:tx>
          <c:spPr>
            <a:solidFill>
              <a:schemeClr val="accent6"/>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'Emission differences'!$G$2:$I$2</c:f>
              <c:strCache>
                <c:ptCount val="3"/>
                <c:pt idx="0">
                  <c:v>2030-Base</c:v>
                </c:pt>
                <c:pt idx="1">
                  <c:v>2035-Base</c:v>
                </c:pt>
                <c:pt idx="2">
                  <c:v>2030-2035</c:v>
                </c:pt>
              </c:strCache>
            </c:strRef>
          </c:cat>
          <c:val>
            <c:numRef>
              <c:f>'Emission differences'!$G$34:$I$34</c:f>
              <c:numCache>
                <c:formatCode>_-* #,##0_-;\-* #,##0_-;_-* "-"??_-;_-@_-</c:formatCode>
                <c:ptCount val="3"/>
                <c:pt idx="0">
                  <c:v>-7303630591.5662308</c:v>
                </c:pt>
                <c:pt idx="1">
                  <c:v>-4186791850.4147763</c:v>
                </c:pt>
                <c:pt idx="2">
                  <c:v>-3116838741.1514549</c:v>
                </c:pt>
              </c:numCache>
            </c:numRef>
          </c:val>
          <c:extLst>
            <c:ext xmlns:c16="http://schemas.microsoft.com/office/drawing/2014/chart" uri="{C3380CC4-5D6E-409C-BE32-E72D297353CC}">
              <c16:uniqueId val="{00000000-F989-42B4-A99A-88AC2321E554}"/>
            </c:ext>
          </c:extLst>
        </c:ser>
        <c:dLbls>
          <c:dLblPos val="outEnd"/>
          <c:showLegendKey val="0"/>
          <c:showVal val="1"/>
          <c:showCatName val="0"/>
          <c:showSerName val="0"/>
          <c:showPercent val="0"/>
          <c:showBubbleSize val="0"/>
        </c:dLbls>
        <c:gapWidth val="150"/>
        <c:axId val="456997743"/>
        <c:axId val="456998159"/>
      </c:barChart>
      <c:catAx>
        <c:axId val="45699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Policy</a:t>
                </a:r>
                <a:r>
                  <a:rPr lang="en-US" baseline="0"/>
                  <a:t> scenarios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6998159"/>
        <c:crosses val="autoZero"/>
        <c:auto val="1"/>
        <c:lblAlgn val="ctr"/>
        <c:lblOffset val="100"/>
        <c:noMultiLvlLbl val="0"/>
      </c:catAx>
      <c:valAx>
        <c:axId val="45699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 emissions (metric tons)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9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600" b="0" i="0" u="none" strike="noStrike" kern="1200" spc="0" baseline="0">
                <a:solidFill>
                  <a:sysClr val="windowText" lastClr="000000">
                    <a:lumMod val="65000"/>
                    <a:lumOff val="35000"/>
                  </a:sysClr>
                </a:solidFill>
                <a:latin typeface="+mn-lt"/>
                <a:ea typeface="+mn-ea"/>
                <a:cs typeface="+mn-cs"/>
              </a:defRPr>
            </a:pPr>
            <a:r>
              <a:rPr lang="en-US" sz="2800" b="0" i="0" u="none" strike="noStrike" kern="1200" spc="0" baseline="0">
                <a:solidFill>
                  <a:sysClr val="windowText" lastClr="000000">
                    <a:lumMod val="65000"/>
                    <a:lumOff val="35000"/>
                  </a:sysClr>
                </a:solidFill>
                <a:latin typeface="+mn-lt"/>
                <a:ea typeface="+mn-ea"/>
                <a:cs typeface="+mn-cs"/>
              </a:rPr>
              <a:t>LIGHT DUTY VEHICLES BY ENGINE TYPE: ACCELERATED POLICY VS. BAU</a:t>
            </a:r>
          </a:p>
        </c:rich>
      </c:tx>
      <c:overlay val="0"/>
      <c:spPr>
        <a:noFill/>
        <a:ln>
          <a:noFill/>
        </a:ln>
        <a:effectLst/>
      </c:spPr>
      <c:txPr>
        <a:bodyPr rot="0" spcFirstLastPara="1" vertOverflow="ellipsis" vert="horz" wrap="square" anchor="ctr" anchorCtr="1"/>
        <a:lstStyle/>
        <a:p>
          <a:pPr algn="ctr" rtl="0">
            <a:defRPr lang="en-US" sz="3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v>EV BAU</c:v>
          </c:tx>
          <c:spPr>
            <a:ln w="63500" cap="rnd">
              <a:solidFill>
                <a:srgbClr val="0070C0"/>
              </a:solidFill>
              <a:prstDash val="solid"/>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Base_case!$J$3:$J$33</c:f>
              <c:numCache>
                <c:formatCode>_(* #,##0_);_(* \(#,##0\);_(* "-"??_);_(@_)</c:formatCode>
                <c:ptCount val="31"/>
                <c:pt idx="0">
                  <c:v>1019260</c:v>
                </c:pt>
                <c:pt idx="1">
                  <c:v>1636357.4103024639</c:v>
                </c:pt>
                <c:pt idx="2">
                  <c:v>2417787.8609684738</c:v>
                </c:pt>
                <c:pt idx="3">
                  <c:v>3367732.2254597079</c:v>
                </c:pt>
                <c:pt idx="4">
                  <c:v>4570646.7742149569</c:v>
                </c:pt>
                <c:pt idx="5">
                  <c:v>6357927.5874391152</c:v>
                </c:pt>
                <c:pt idx="6">
                  <c:v>8662310.9847482443</c:v>
                </c:pt>
                <c:pt idx="7">
                  <c:v>11663724.272075439</c:v>
                </c:pt>
                <c:pt idx="8">
                  <c:v>15362191.147912476</c:v>
                </c:pt>
                <c:pt idx="9">
                  <c:v>19758198.663770057</c:v>
                </c:pt>
                <c:pt idx="10">
                  <c:v>24861707.206505861</c:v>
                </c:pt>
                <c:pt idx="11">
                  <c:v>30257111.614248883</c:v>
                </c:pt>
                <c:pt idx="12">
                  <c:v>36512059.912003651</c:v>
                </c:pt>
                <c:pt idx="13">
                  <c:v>43597452.623618037</c:v>
                </c:pt>
                <c:pt idx="14">
                  <c:v>51544681.814775676</c:v>
                </c:pt>
                <c:pt idx="15">
                  <c:v>60246161.195189714</c:v>
                </c:pt>
                <c:pt idx="16">
                  <c:v>69625117.455417767</c:v>
                </c:pt>
                <c:pt idx="17">
                  <c:v>79660746.920748457</c:v>
                </c:pt>
                <c:pt idx="18">
                  <c:v>90080819.226751193</c:v>
                </c:pt>
                <c:pt idx="19">
                  <c:v>101025902.4249742</c:v>
                </c:pt>
                <c:pt idx="20">
                  <c:v>112507916.95371957</c:v>
                </c:pt>
                <c:pt idx="21">
                  <c:v>124238914.07047425</c:v>
                </c:pt>
                <c:pt idx="22">
                  <c:v>135898474.67315286</c:v>
                </c:pt>
                <c:pt idx="23">
                  <c:v>147565040.34699577</c:v>
                </c:pt>
                <c:pt idx="24">
                  <c:v>159070065.99128947</c:v>
                </c:pt>
                <c:pt idx="25">
                  <c:v>170407354.84056962</c:v>
                </c:pt>
                <c:pt idx="26">
                  <c:v>181570575.98625368</c:v>
                </c:pt>
                <c:pt idx="27">
                  <c:v>192553261.93189624</c:v>
                </c:pt>
                <c:pt idx="28">
                  <c:v>203805403.07119393</c:v>
                </c:pt>
                <c:pt idx="29">
                  <c:v>214798446.60352403</c:v>
                </c:pt>
                <c:pt idx="30">
                  <c:v>225523721.93121403</c:v>
                </c:pt>
              </c:numCache>
            </c:numRef>
          </c:val>
          <c:smooth val="0"/>
          <c:extLst>
            <c:ext xmlns:c16="http://schemas.microsoft.com/office/drawing/2014/chart" uri="{C3380CC4-5D6E-409C-BE32-E72D297353CC}">
              <c16:uniqueId val="{00000000-8F22-4EE6-96DB-1781C6C21230}"/>
            </c:ext>
          </c:extLst>
        </c:ser>
        <c:ser>
          <c:idx val="1"/>
          <c:order val="1"/>
          <c:tx>
            <c:v>EV Accelerated</c:v>
          </c:tx>
          <c:spPr>
            <a:ln w="63500" cap="rnd">
              <a:solidFill>
                <a:srgbClr val="00B050"/>
              </a:solidFill>
              <a:prstDash val="solid"/>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'2030'!$I$3:$I$33</c:f>
              <c:numCache>
                <c:formatCode>_(* #,##0_);_(* \(#,##0\);_(* "-"??_);_(@_)</c:formatCode>
                <c:ptCount val="31"/>
                <c:pt idx="0">
                  <c:v>1019260</c:v>
                </c:pt>
                <c:pt idx="1">
                  <c:v>1636357.4103024639</c:v>
                </c:pt>
                <c:pt idx="2">
                  <c:v>2417787.8609684738</c:v>
                </c:pt>
                <c:pt idx="3">
                  <c:v>3367732.2254597079</c:v>
                </c:pt>
                <c:pt idx="4">
                  <c:v>4570646.7742149569</c:v>
                </c:pt>
                <c:pt idx="5">
                  <c:v>7170327.9570864607</c:v>
                </c:pt>
                <c:pt idx="6">
                  <c:v>11120699.495330682</c:v>
                </c:pt>
                <c:pt idx="7">
                  <c:v>16623290.522097204</c:v>
                </c:pt>
                <c:pt idx="8">
                  <c:v>23700148.194149733</c:v>
                </c:pt>
                <c:pt idx="9">
                  <c:v>32374211.97525499</c:v>
                </c:pt>
                <c:pt idx="10">
                  <c:v>49612478.451041006</c:v>
                </c:pt>
                <c:pt idx="11">
                  <c:v>67055018.131751269</c:v>
                </c:pt>
                <c:pt idx="12">
                  <c:v>84731417.751177996</c:v>
                </c:pt>
                <c:pt idx="13">
                  <c:v>102594211.48156203</c:v>
                </c:pt>
                <c:pt idx="14">
                  <c:v>120656052.43483028</c:v>
                </c:pt>
                <c:pt idx="15">
                  <c:v>138790236.17036915</c:v>
                </c:pt>
                <c:pt idx="16">
                  <c:v>157200272.20941943</c:v>
                </c:pt>
                <c:pt idx="17">
                  <c:v>175853278.55617893</c:v>
                </c:pt>
                <c:pt idx="18">
                  <c:v>194464699.81539771</c:v>
                </c:pt>
                <c:pt idx="19">
                  <c:v>213162527.91770351</c:v>
                </c:pt>
                <c:pt idx="20">
                  <c:v>231945851.63771483</c:v>
                </c:pt>
                <c:pt idx="21">
                  <c:v>250733526.98928404</c:v>
                </c:pt>
                <c:pt idx="22">
                  <c:v>268385112.99903724</c:v>
                </c:pt>
                <c:pt idx="23">
                  <c:v>284950085.1776095</c:v>
                </c:pt>
                <c:pt idx="24">
                  <c:v>300230357.94972676</c:v>
                </c:pt>
                <c:pt idx="25">
                  <c:v>309762749.87089884</c:v>
                </c:pt>
                <c:pt idx="26">
                  <c:v>312240851.86986607</c:v>
                </c:pt>
                <c:pt idx="27">
                  <c:v>314738778.68482506</c:v>
                </c:pt>
                <c:pt idx="28">
                  <c:v>317256688.91430366</c:v>
                </c:pt>
                <c:pt idx="29">
                  <c:v>319794742.42561805</c:v>
                </c:pt>
                <c:pt idx="30">
                  <c:v>322353100.36502302</c:v>
                </c:pt>
              </c:numCache>
            </c:numRef>
          </c:val>
          <c:smooth val="0"/>
          <c:extLst>
            <c:ext xmlns:c16="http://schemas.microsoft.com/office/drawing/2014/chart" uri="{C3380CC4-5D6E-409C-BE32-E72D297353CC}">
              <c16:uniqueId val="{00000002-8F22-4EE6-96DB-1781C6C21230}"/>
            </c:ext>
          </c:extLst>
        </c:ser>
        <c:ser>
          <c:idx val="2"/>
          <c:order val="2"/>
          <c:tx>
            <c:v>ICU BAU</c:v>
          </c:tx>
          <c:spPr>
            <a:ln w="63500" cap="rnd">
              <a:solidFill>
                <a:srgbClr val="FF0000"/>
              </a:solidFill>
              <a:prstDash val="solid"/>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Base_case!$O$3:$O$33</c:f>
              <c:numCache>
                <c:formatCode>_(* #,##0_);_(* \(#,##0\);_(* "-"??_);_(@_)</c:formatCode>
                <c:ptCount val="31"/>
                <c:pt idx="0">
                  <c:v>252794924</c:v>
                </c:pt>
                <c:pt idx="1">
                  <c:v>254208340.06169754</c:v>
                </c:pt>
                <c:pt idx="2">
                  <c:v>255473667.19080755</c:v>
                </c:pt>
                <c:pt idx="3">
                  <c:v>256586854.46673056</c:v>
                </c:pt>
                <c:pt idx="4">
                  <c:v>257463576.61151284</c:v>
                </c:pt>
                <c:pt idx="5">
                  <c:v>257772569.58537447</c:v>
                </c:pt>
                <c:pt idx="6">
                  <c:v>257581230.16544786</c:v>
                </c:pt>
                <c:pt idx="7">
                  <c:v>256709765.20732227</c:v>
                </c:pt>
                <c:pt idx="8">
                  <c:v>255158286.24732044</c:v>
                </c:pt>
                <c:pt idx="9">
                  <c:v>252926442.55062476</c:v>
                </c:pt>
                <c:pt idx="10">
                  <c:v>250004411.13760409</c:v>
                </c:pt>
                <c:pt idx="11">
                  <c:v>246807935.67661399</c:v>
                </c:pt>
                <c:pt idx="12">
                  <c:v>242769507.75718611</c:v>
                </c:pt>
                <c:pt idx="13">
                  <c:v>237918367.58692518</c:v>
                </c:pt>
                <c:pt idx="14">
                  <c:v>232223264.95745197</c:v>
                </c:pt>
                <c:pt idx="15">
                  <c:v>225791929.15121573</c:v>
                </c:pt>
                <c:pt idx="16">
                  <c:v>218701277.61375898</c:v>
                </c:pt>
                <c:pt idx="17">
                  <c:v>210972259.30898166</c:v>
                </c:pt>
                <c:pt idx="18">
                  <c:v>202877251.05281681</c:v>
                </c:pt>
                <c:pt idx="19">
                  <c:v>194275832.41683036</c:v>
                </c:pt>
                <c:pt idx="20">
                  <c:v>185156231.76681948</c:v>
                </c:pt>
                <c:pt idx="21">
                  <c:v>175806547.83982909</c:v>
                </c:pt>
                <c:pt idx="22">
                  <c:v>166547350.93243289</c:v>
                </c:pt>
                <c:pt idx="23">
                  <c:v>157300351.86343473</c:v>
                </c:pt>
                <c:pt idx="24">
                  <c:v>148234249.35682449</c:v>
                </c:pt>
                <c:pt idx="25">
                  <c:v>139355395.03032923</c:v>
                </c:pt>
                <c:pt idx="26">
                  <c:v>130670275.88361239</c:v>
                </c:pt>
                <c:pt idx="27">
                  <c:v>122185516.75292882</c:v>
                </c:pt>
                <c:pt idx="28">
                  <c:v>113451285.84310973</c:v>
                </c:pt>
                <c:pt idx="29">
                  <c:v>104996295.82209402</c:v>
                </c:pt>
                <c:pt idx="30">
                  <c:v>96829378.433808982</c:v>
                </c:pt>
              </c:numCache>
            </c:numRef>
          </c:val>
          <c:smooth val="0"/>
          <c:extLst>
            <c:ext xmlns:c16="http://schemas.microsoft.com/office/drawing/2014/chart" uri="{C3380CC4-5D6E-409C-BE32-E72D297353CC}">
              <c16:uniqueId val="{00000003-8F22-4EE6-96DB-1781C6C21230}"/>
            </c:ext>
          </c:extLst>
        </c:ser>
        <c:ser>
          <c:idx val="3"/>
          <c:order val="3"/>
          <c:tx>
            <c:v>ICE Accelerated</c:v>
          </c:tx>
          <c:spPr>
            <a:ln w="63500" cap="rnd">
              <a:solidFill>
                <a:srgbClr val="FFFF00"/>
              </a:solidFill>
              <a:prstDash val="solid"/>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'2030'!$N$3:$N$33</c:f>
              <c:numCache>
                <c:formatCode>_(* #,##0_);_(* \(#,##0\);_(* "-"??_);_(@_)</c:formatCode>
                <c:ptCount val="31"/>
                <c:pt idx="0">
                  <c:v>252794924</c:v>
                </c:pt>
                <c:pt idx="1">
                  <c:v>254208340.06169754</c:v>
                </c:pt>
                <c:pt idx="2">
                  <c:v>255473667.19080755</c:v>
                </c:pt>
                <c:pt idx="3">
                  <c:v>256586854.46673056</c:v>
                </c:pt>
                <c:pt idx="4">
                  <c:v>257463576.61151284</c:v>
                </c:pt>
                <c:pt idx="5">
                  <c:v>256960169.21572712</c:v>
                </c:pt>
                <c:pt idx="6">
                  <c:v>255122841.65486541</c:v>
                </c:pt>
                <c:pt idx="7">
                  <c:v>251750198.95730051</c:v>
                </c:pt>
                <c:pt idx="8">
                  <c:v>246820329.20108318</c:v>
                </c:pt>
                <c:pt idx="9">
                  <c:v>240310429.23913983</c:v>
                </c:pt>
                <c:pt idx="10">
                  <c:v>225253639.89306894</c:v>
                </c:pt>
                <c:pt idx="11">
                  <c:v>210010029.15911159</c:v>
                </c:pt>
                <c:pt idx="12">
                  <c:v>194550149.91801175</c:v>
                </c:pt>
                <c:pt idx="13">
                  <c:v>178921608.7289812</c:v>
                </c:pt>
                <c:pt idx="14">
                  <c:v>163111894.33739737</c:v>
                </c:pt>
                <c:pt idx="15">
                  <c:v>147247854.1760363</c:v>
                </c:pt>
                <c:pt idx="16">
                  <c:v>131126122.8597573</c:v>
                </c:pt>
                <c:pt idx="17">
                  <c:v>114779727.6735512</c:v>
                </c:pt>
                <c:pt idx="18">
                  <c:v>98493370.464170307</c:v>
                </c:pt>
                <c:pt idx="19">
                  <c:v>82139206.924101055</c:v>
                </c:pt>
                <c:pt idx="20">
                  <c:v>65718297.0828242</c:v>
                </c:pt>
                <c:pt idx="21">
                  <c:v>49311934.921019316</c:v>
                </c:pt>
                <c:pt idx="22">
                  <c:v>34060712.606548518</c:v>
                </c:pt>
                <c:pt idx="23">
                  <c:v>19915307.032821</c:v>
                </c:pt>
                <c:pt idx="24">
                  <c:v>7073957.3983871937</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4-8F22-4EE6-96DB-1781C6C21230}"/>
            </c:ext>
          </c:extLst>
        </c:ser>
        <c:dLbls>
          <c:showLegendKey val="0"/>
          <c:showVal val="0"/>
          <c:showCatName val="0"/>
          <c:showSerName val="0"/>
          <c:showPercent val="0"/>
          <c:showBubbleSize val="0"/>
        </c:dLbls>
        <c:smooth val="0"/>
        <c:axId val="778569760"/>
        <c:axId val="778560192"/>
      </c:lineChart>
      <c:catAx>
        <c:axId val="778569760"/>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Year</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8560192"/>
        <c:crosses val="autoZero"/>
        <c:auto val="1"/>
        <c:lblAlgn val="ctr"/>
        <c:lblOffset val="100"/>
        <c:tickLblSkip val="5"/>
        <c:noMultiLvlLbl val="0"/>
      </c:catAx>
      <c:valAx>
        <c:axId val="77856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Number</a:t>
                </a:r>
                <a:r>
                  <a:rPr lang="en-US" sz="2000" baseline="0"/>
                  <a:t> of Vehicles: Millions</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8569760"/>
        <c:crosses val="autoZero"/>
        <c:crossBetween val="between"/>
        <c:dispUnits>
          <c:builtInUnit val="millions"/>
        </c:dispUnits>
      </c:valAx>
      <c:spPr>
        <a:noFill/>
        <a:ln>
          <a:noFill/>
        </a:ln>
        <a:effectLst/>
      </c:spPr>
    </c:plotArea>
    <c:legend>
      <c:legendPos val="r"/>
      <c:layout>
        <c:manualLayout>
          <c:xMode val="edge"/>
          <c:yMode val="edge"/>
          <c:x val="0.8472523424794749"/>
          <c:y val="0.44269874591470448"/>
          <c:w val="0.14711381804857404"/>
          <c:h val="0.22429113501064768"/>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2800" b="0" i="0" u="none" strike="noStrike" baseline="0"/>
              <a:t>GASOLINE CONSUMPTION: ACCELERATED POLICY VS. BAU</a:t>
            </a:r>
            <a:endParaRPr lang="en-US" sz="2800"/>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60362808631224"/>
          <c:y val="0.10299706928197817"/>
          <c:w val="0.72965760525802659"/>
          <c:h val="0.79901050887703273"/>
        </c:manualLayout>
      </c:layout>
      <c:lineChart>
        <c:grouping val="standard"/>
        <c:varyColors val="0"/>
        <c:ser>
          <c:idx val="0"/>
          <c:order val="0"/>
          <c:tx>
            <c:v>BAU case</c:v>
          </c:tx>
          <c:spPr>
            <a:ln w="63500" cap="rnd">
              <a:solidFill>
                <a:schemeClr val="accent1"/>
              </a:solidFill>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Base_case!$P$3:$P$33</c:f>
              <c:numCache>
                <c:formatCode>_(* #,##0_);_(* \(#,##0\);_(* "-"??_);_(@_)</c:formatCode>
                <c:ptCount val="31"/>
                <c:pt idx="0">
                  <c:v>128863303920.66231</c:v>
                </c:pt>
                <c:pt idx="1">
                  <c:v>128504362217.73738</c:v>
                </c:pt>
                <c:pt idx="2">
                  <c:v>128068222200.59926</c:v>
                </c:pt>
                <c:pt idx="3">
                  <c:v>127554799497.74103</c:v>
                </c:pt>
                <c:pt idx="4">
                  <c:v>126924471222.04189</c:v>
                </c:pt>
                <c:pt idx="5">
                  <c:v>126018245409.53601</c:v>
                </c:pt>
                <c:pt idx="6">
                  <c:v>124875748302.07497</c:v>
                </c:pt>
                <c:pt idx="7">
                  <c:v>123416561727.10521</c:v>
                </c:pt>
                <c:pt idx="8">
                  <c:v>121648817947.62425</c:v>
                </c:pt>
                <c:pt idx="9">
                  <c:v>119580293587.05327</c:v>
                </c:pt>
                <c:pt idx="10">
                  <c:v>117214196338.95734</c:v>
                </c:pt>
                <c:pt idx="11">
                  <c:v>114751619965.37036</c:v>
                </c:pt>
                <c:pt idx="12">
                  <c:v>111933737809.52985</c:v>
                </c:pt>
                <c:pt idx="13">
                  <c:v>108783243349.74649</c:v>
                </c:pt>
                <c:pt idx="14">
                  <c:v>105294799373.63181</c:v>
                </c:pt>
                <c:pt idx="15">
                  <c:v>101525882176.5929</c:v>
                </c:pt>
                <c:pt idx="16">
                  <c:v>97518461446.952774</c:v>
                </c:pt>
                <c:pt idx="17">
                  <c:v>93288484403.531387</c:v>
                </c:pt>
                <c:pt idx="18">
                  <c:v>88961725582.997177</c:v>
                </c:pt>
                <c:pt idx="19">
                  <c:v>84480366272.329849</c:v>
                </c:pt>
                <c:pt idx="20">
                  <c:v>79844040495.807938</c:v>
                </c:pt>
                <c:pt idx="21">
                  <c:v>75180702895.405396</c:v>
                </c:pt>
                <c:pt idx="22">
                  <c:v>70627889345.517319</c:v>
                </c:pt>
                <c:pt idx="23">
                  <c:v>66150838840.636696</c:v>
                </c:pt>
                <c:pt idx="24">
                  <c:v>61818915674.984901</c:v>
                </c:pt>
                <c:pt idx="25">
                  <c:v>57632011043.169853</c:v>
                </c:pt>
                <c:pt idx="26">
                  <c:v>53590024876.949982</c:v>
                </c:pt>
                <c:pt idx="27">
                  <c:v>49692865821.230034</c:v>
                </c:pt>
                <c:pt idx="28">
                  <c:v>45756300034.898689</c:v>
                </c:pt>
                <c:pt idx="29">
                  <c:v>41993552646.028809</c:v>
                </c:pt>
                <c:pt idx="30">
                  <c:v>38404573518.417206</c:v>
                </c:pt>
              </c:numCache>
            </c:numRef>
          </c:val>
          <c:smooth val="0"/>
          <c:extLst>
            <c:ext xmlns:c16="http://schemas.microsoft.com/office/drawing/2014/chart" uri="{C3380CC4-5D6E-409C-BE32-E72D297353CC}">
              <c16:uniqueId val="{00000000-B279-4A2F-A6EF-3968C459061E}"/>
            </c:ext>
          </c:extLst>
        </c:ser>
        <c:ser>
          <c:idx val="1"/>
          <c:order val="1"/>
          <c:tx>
            <c:v>Accelerated Policy</c:v>
          </c:tx>
          <c:spPr>
            <a:ln w="63500" cap="rnd">
              <a:solidFill>
                <a:srgbClr val="00B050"/>
              </a:solidFill>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'2030'!$O$3:$O$33</c:f>
              <c:numCache>
                <c:formatCode>_(* #,##0_);_(* \(#,##0\);_(* "-"??_);_(@_)</c:formatCode>
                <c:ptCount val="31"/>
                <c:pt idx="0">
                  <c:v>128863303920.66231</c:v>
                </c:pt>
                <c:pt idx="1">
                  <c:v>128504362217.73738</c:v>
                </c:pt>
                <c:pt idx="2">
                  <c:v>128068222200.59926</c:v>
                </c:pt>
                <c:pt idx="3">
                  <c:v>127554799497.74103</c:v>
                </c:pt>
                <c:pt idx="4">
                  <c:v>126924471222.04189</c:v>
                </c:pt>
                <c:pt idx="5">
                  <c:v>125621084185.91281</c:v>
                </c:pt>
                <c:pt idx="6">
                  <c:v>123683918040.689</c:v>
                </c:pt>
                <c:pt idx="7">
                  <c:v>121032185683.8287</c:v>
                </c:pt>
                <c:pt idx="8">
                  <c:v>117673628140.18965</c:v>
                </c:pt>
                <c:pt idx="9">
                  <c:v>113615608517.0706</c:v>
                </c:pt>
                <c:pt idx="10">
                  <c:v>105609834051.92252</c:v>
                </c:pt>
                <c:pt idx="11">
                  <c:v>97642691224.317032</c:v>
                </c:pt>
                <c:pt idx="12">
                  <c:v>89701238318.232956</c:v>
                </c:pt>
                <c:pt idx="13">
                  <c:v>81808197913.85672</c:v>
                </c:pt>
                <c:pt idx="14">
                  <c:v>73958284036.942062</c:v>
                </c:pt>
                <c:pt idx="15">
                  <c:v>66209046311.042168</c:v>
                </c:pt>
                <c:pt idx="16">
                  <c:v>58468875428.202637</c:v>
                </c:pt>
                <c:pt idx="17">
                  <c:v>50753719327.779922</c:v>
                </c:pt>
                <c:pt idx="18">
                  <c:v>43189367706.371742</c:v>
                </c:pt>
                <c:pt idx="19">
                  <c:v>35718031419.257492</c:v>
                </c:pt>
                <c:pt idx="20">
                  <c:v>28339388437.137486</c:v>
                </c:pt>
                <c:pt idx="21">
                  <c:v>21087416675.016624</c:v>
                </c:pt>
                <c:pt idx="22">
                  <c:v>14444157937.887142</c:v>
                </c:pt>
                <c:pt idx="23">
                  <c:v>8375151424.5416012</c:v>
                </c:pt>
                <c:pt idx="24">
                  <c:v>2950089994.6993294</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2-B279-4A2F-A6EF-3968C459061E}"/>
            </c:ext>
          </c:extLst>
        </c:ser>
        <c:dLbls>
          <c:showLegendKey val="0"/>
          <c:showVal val="0"/>
          <c:showCatName val="0"/>
          <c:showSerName val="0"/>
          <c:showPercent val="0"/>
          <c:showBubbleSize val="0"/>
        </c:dLbls>
        <c:smooth val="0"/>
        <c:axId val="1634492960"/>
        <c:axId val="1634470912"/>
      </c:lineChart>
      <c:catAx>
        <c:axId val="1634492960"/>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Year</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34470912"/>
        <c:crossesAt val="0"/>
        <c:auto val="1"/>
        <c:lblAlgn val="ctr"/>
        <c:lblOffset val="100"/>
        <c:tickLblSkip val="5"/>
        <c:noMultiLvlLbl val="0"/>
      </c:catAx>
      <c:valAx>
        <c:axId val="163447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baseline="0"/>
                  <a:t>Gasoline: Billions of Gallons</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low"/>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34492960"/>
        <c:crossesAt val="5"/>
        <c:crossBetween val="between"/>
        <c:dispUnits>
          <c:builtInUnit val="billions"/>
        </c:dispUnits>
      </c:valAx>
      <c:spPr>
        <a:noFill/>
        <a:ln>
          <a:noFill/>
        </a:ln>
        <a:effectLst/>
      </c:spPr>
    </c:plotArea>
    <c:legend>
      <c:legendPos val="r"/>
      <c:layout>
        <c:manualLayout>
          <c:xMode val="edge"/>
          <c:yMode val="edge"/>
          <c:x val="0.84466169604905583"/>
          <c:y val="0.408725700789278"/>
          <c:w val="0.15181688848628436"/>
          <c:h val="0.13119290104547152"/>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ENERGY CONSUMPTION</a:t>
            </a:r>
            <a:r>
              <a:rPr lang="en-US" baseline="0"/>
              <a:t> FROM EV USAGE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v>Base Case: No Policy</c:v>
          </c:tx>
          <c:spPr>
            <a:ln w="50800" cap="rnd">
              <a:solidFill>
                <a:schemeClr val="accent1"/>
              </a:solidFill>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Base_case!$T$3:$T$33</c:f>
              <c:numCache>
                <c:formatCode>_(* #,##0_);_(* \(#,##0\);_(* "-"??_);_(@_)</c:formatCode>
                <c:ptCount val="31"/>
                <c:pt idx="0">
                  <c:v>3405276103.979279</c:v>
                </c:pt>
                <c:pt idx="1">
                  <c:v>5466955229.1587992</c:v>
                </c:pt>
                <c:pt idx="2">
                  <c:v>8077659505.3736238</c:v>
                </c:pt>
                <c:pt idx="3">
                  <c:v>11251356937.345625</c:v>
                </c:pt>
                <c:pt idx="4">
                  <c:v>15270209995.451767</c:v>
                </c:pt>
                <c:pt idx="5">
                  <c:v>21241389718.361408</c:v>
                </c:pt>
                <c:pt idx="6">
                  <c:v>28940172872.084076</c:v>
                </c:pt>
                <c:pt idx="7">
                  <c:v>38967683954.144775</c:v>
                </c:pt>
                <c:pt idx="8">
                  <c:v>51324002139.54081</c:v>
                </c:pt>
                <c:pt idx="9">
                  <c:v>66010754633.176529</c:v>
                </c:pt>
                <c:pt idx="10">
                  <c:v>83061218388.285477</c:v>
                </c:pt>
                <c:pt idx="11">
                  <c:v>101086885736.15724</c:v>
                </c:pt>
                <c:pt idx="12">
                  <c:v>121984228877.23038</c:v>
                </c:pt>
                <c:pt idx="13">
                  <c:v>145656028504.57709</c:v>
                </c:pt>
                <c:pt idx="14">
                  <c:v>172207163305.80121</c:v>
                </c:pt>
                <c:pt idx="15">
                  <c:v>201278195038.03079</c:v>
                </c:pt>
                <c:pt idx="16">
                  <c:v>232612629464.20416</c:v>
                </c:pt>
                <c:pt idx="17">
                  <c:v>266140962967.60953</c:v>
                </c:pt>
                <c:pt idx="18">
                  <c:v>300953693012.31586</c:v>
                </c:pt>
                <c:pt idx="19">
                  <c:v>337520447590.12122</c:v>
                </c:pt>
                <c:pt idx="20">
                  <c:v>375881052048.5318</c:v>
                </c:pt>
                <c:pt idx="21">
                  <c:v>415073489853.93427</c:v>
                </c:pt>
                <c:pt idx="22">
                  <c:v>454027263280.93005</c:v>
                </c:pt>
                <c:pt idx="23">
                  <c:v>493004440158.90247</c:v>
                </c:pt>
                <c:pt idx="24">
                  <c:v>531441923138.89001</c:v>
                </c:pt>
                <c:pt idx="25">
                  <c:v>569319009262.51343</c:v>
                </c:pt>
                <c:pt idx="26">
                  <c:v>606614547408.65295</c:v>
                </c:pt>
                <c:pt idx="27">
                  <c:v>643306930125.72778</c:v>
                </c:pt>
                <c:pt idx="28">
                  <c:v>680899543728.00061</c:v>
                </c:pt>
                <c:pt idx="29">
                  <c:v>717626530415.05554</c:v>
                </c:pt>
                <c:pt idx="30">
                  <c:v>753458922328.77856</c:v>
                </c:pt>
              </c:numCache>
            </c:numRef>
          </c:val>
          <c:smooth val="0"/>
          <c:extLst>
            <c:ext xmlns:c16="http://schemas.microsoft.com/office/drawing/2014/chart" uri="{C3380CC4-5D6E-409C-BE32-E72D297353CC}">
              <c16:uniqueId val="{00000000-FD9F-4E25-AF05-2F6F1A00F8FB}"/>
            </c:ext>
          </c:extLst>
        </c:ser>
        <c:ser>
          <c:idx val="1"/>
          <c:order val="1"/>
          <c:tx>
            <c:v>2035 100% EV Adoption Policy</c:v>
          </c:tx>
          <c:spPr>
            <a:ln w="50800" cap="rnd">
              <a:solidFill>
                <a:schemeClr val="accent2"/>
              </a:solidFill>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'2035'!$S$3:$S$33</c:f>
              <c:numCache>
                <c:formatCode>_(* #,##0_);_(* \(#,##0\);_(* "-"??_);_(@_)</c:formatCode>
                <c:ptCount val="31"/>
                <c:pt idx="0">
                  <c:v>3405276103.979279</c:v>
                </c:pt>
                <c:pt idx="1">
                  <c:v>5466955229.1587992</c:v>
                </c:pt>
                <c:pt idx="2">
                  <c:v>8077659505.3736238</c:v>
                </c:pt>
                <c:pt idx="3">
                  <c:v>11251356937.345625</c:v>
                </c:pt>
                <c:pt idx="4">
                  <c:v>15270209995.451767</c:v>
                </c:pt>
                <c:pt idx="5">
                  <c:v>21241389718.361408</c:v>
                </c:pt>
                <c:pt idx="6">
                  <c:v>28940172872.084076</c:v>
                </c:pt>
                <c:pt idx="7">
                  <c:v>38967683954.144775</c:v>
                </c:pt>
                <c:pt idx="8">
                  <c:v>51324002139.54081</c:v>
                </c:pt>
                <c:pt idx="9">
                  <c:v>66010754633.176529</c:v>
                </c:pt>
                <c:pt idx="10">
                  <c:v>85957030841.647217</c:v>
                </c:pt>
                <c:pt idx="11">
                  <c:v>109849845885.02615</c:v>
                </c:pt>
                <c:pt idx="12">
                  <c:v>139662671978.28412</c:v>
                </c:pt>
                <c:pt idx="13">
                  <c:v>175376792738.80597</c:v>
                </c:pt>
                <c:pt idx="14">
                  <c:v>217177118790.96976</c:v>
                </c:pt>
                <c:pt idx="15">
                  <c:v>277762153561.09729</c:v>
                </c:pt>
                <c:pt idx="16">
                  <c:v>339268791511.35065</c:v>
                </c:pt>
                <c:pt idx="17">
                  <c:v>401587176202.19891</c:v>
                </c:pt>
                <c:pt idx="18">
                  <c:v>463766628035.00867</c:v>
                </c:pt>
                <c:pt idx="19">
                  <c:v>526234759064.47528</c:v>
                </c:pt>
                <c:pt idx="20">
                  <c:v>588988524950.5708</c:v>
                </c:pt>
                <c:pt idx="21">
                  <c:v>651756829332.19983</c:v>
                </c:pt>
                <c:pt idx="22">
                  <c:v>713443711582.03931</c:v>
                </c:pt>
                <c:pt idx="23">
                  <c:v>774285251529.19067</c:v>
                </c:pt>
                <c:pt idx="24">
                  <c:v>833691829361.23914</c:v>
                </c:pt>
                <c:pt idx="25">
                  <c:v>891615675673.42432</c:v>
                </c:pt>
                <c:pt idx="26">
                  <c:v>948008019238.16248</c:v>
                </c:pt>
                <c:pt idx="27">
                  <c:v>999923256546.93408</c:v>
                </c:pt>
                <c:pt idx="28">
                  <c:v>1048760494025.0872</c:v>
                </c:pt>
                <c:pt idx="29">
                  <c:v>1068411783607.8781</c:v>
                </c:pt>
                <c:pt idx="30">
                  <c:v>1076959077876.7411</c:v>
                </c:pt>
              </c:numCache>
            </c:numRef>
          </c:val>
          <c:smooth val="0"/>
          <c:extLst>
            <c:ext xmlns:c16="http://schemas.microsoft.com/office/drawing/2014/chart" uri="{C3380CC4-5D6E-409C-BE32-E72D297353CC}">
              <c16:uniqueId val="{00000002-FD9F-4E25-AF05-2F6F1A00F8FB}"/>
            </c:ext>
          </c:extLst>
        </c:ser>
        <c:ser>
          <c:idx val="2"/>
          <c:order val="2"/>
          <c:tx>
            <c:v>2030 100% EV Adoption Policy</c:v>
          </c:tx>
          <c:spPr>
            <a:ln w="50800" cap="rnd">
              <a:solidFill>
                <a:schemeClr val="accent3"/>
              </a:solidFill>
              <a:round/>
            </a:ln>
            <a:effectLst/>
          </c:spPr>
          <c:marker>
            <c:symbol val="none"/>
          </c:marker>
          <c:cat>
            <c:numRef>
              <c:f>Base_case!$C$3:$C$33</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'2030'!$S$3:$S$33</c:f>
              <c:numCache>
                <c:formatCode>_(* #,##0_);_(* \(#,##0\);_(* "-"??_);_(@_)</c:formatCode>
                <c:ptCount val="31"/>
                <c:pt idx="0">
                  <c:v>3405276103.979279</c:v>
                </c:pt>
                <c:pt idx="1">
                  <c:v>5466955229.1587992</c:v>
                </c:pt>
                <c:pt idx="2">
                  <c:v>8077659505.3736238</c:v>
                </c:pt>
                <c:pt idx="3">
                  <c:v>11251356937.345625</c:v>
                </c:pt>
                <c:pt idx="4">
                  <c:v>15270209995.451767</c:v>
                </c:pt>
                <c:pt idx="5">
                  <c:v>23955562319.683975</c:v>
                </c:pt>
                <c:pt idx="6">
                  <c:v>37153476297.494263</c:v>
                </c:pt>
                <c:pt idx="7">
                  <c:v>55537246614.605545</c:v>
                </c:pt>
                <c:pt idx="8">
                  <c:v>79180531273.969101</c:v>
                </c:pt>
                <c:pt idx="9">
                  <c:v>108159969413.5899</c:v>
                </c:pt>
                <c:pt idx="10">
                  <c:v>165751807515.76328</c:v>
                </c:pt>
                <c:pt idx="11">
                  <c:v>224026108054.81418</c:v>
                </c:pt>
                <c:pt idx="12">
                  <c:v>283081718231.23846</c:v>
                </c:pt>
                <c:pt idx="13">
                  <c:v>342760058046.77887</c:v>
                </c:pt>
                <c:pt idx="14">
                  <c:v>403103400660.08527</c:v>
                </c:pt>
                <c:pt idx="15">
                  <c:v>463688435430.21283</c:v>
                </c:pt>
                <c:pt idx="16">
                  <c:v>525195073380.46625</c:v>
                </c:pt>
                <c:pt idx="17">
                  <c:v>587513458071.31445</c:v>
                </c:pt>
                <c:pt idx="18">
                  <c:v>649692909904.12415</c:v>
                </c:pt>
                <c:pt idx="19">
                  <c:v>712161040933.59082</c:v>
                </c:pt>
                <c:pt idx="20">
                  <c:v>774914806819.6864</c:v>
                </c:pt>
                <c:pt idx="21">
                  <c:v>837683111201.31519</c:v>
                </c:pt>
                <c:pt idx="22">
                  <c:v>896655820849.8324</c:v>
                </c:pt>
                <c:pt idx="23">
                  <c:v>951998229972.89587</c:v>
                </c:pt>
                <c:pt idx="24">
                  <c:v>1003048548569.8938</c:v>
                </c:pt>
                <c:pt idx="25">
                  <c:v>1034895600767.5004</c:v>
                </c:pt>
                <c:pt idx="26">
                  <c:v>1043174765573.6405</c:v>
                </c:pt>
                <c:pt idx="27">
                  <c:v>1051520163698.2299</c:v>
                </c:pt>
                <c:pt idx="28">
                  <c:v>1059932325007.8157</c:v>
                </c:pt>
                <c:pt idx="29">
                  <c:v>1068411783607.8781</c:v>
                </c:pt>
                <c:pt idx="30">
                  <c:v>1076959077876.7411</c:v>
                </c:pt>
              </c:numCache>
            </c:numRef>
          </c:val>
          <c:smooth val="0"/>
          <c:extLst>
            <c:ext xmlns:c16="http://schemas.microsoft.com/office/drawing/2014/chart" uri="{C3380CC4-5D6E-409C-BE32-E72D297353CC}">
              <c16:uniqueId val="{00000003-FD9F-4E25-AF05-2F6F1A00F8FB}"/>
            </c:ext>
          </c:extLst>
        </c:ser>
        <c:dLbls>
          <c:showLegendKey val="0"/>
          <c:showVal val="0"/>
          <c:showCatName val="0"/>
          <c:showSerName val="0"/>
          <c:showPercent val="0"/>
          <c:showBubbleSize val="0"/>
        </c:dLbls>
        <c:smooth val="0"/>
        <c:axId val="185028480"/>
        <c:axId val="185017664"/>
      </c:lineChart>
      <c:catAx>
        <c:axId val="1850284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185017664"/>
        <c:crosses val="autoZero"/>
        <c:auto val="1"/>
        <c:lblAlgn val="ctr"/>
        <c:lblOffset val="100"/>
        <c:noMultiLvlLbl val="0"/>
      </c:catAx>
      <c:valAx>
        <c:axId val="1850176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Terrawatt</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185028480"/>
        <c:crosses val="autoZero"/>
        <c:crossBetween val="between"/>
        <c:dispUnits>
          <c:builtInUnit val="billion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66946</xdr:colOff>
      <xdr:row>0</xdr:row>
      <xdr:rowOff>0</xdr:rowOff>
    </xdr:from>
    <xdr:to>
      <xdr:col>10</xdr:col>
      <xdr:colOff>10886</xdr:colOff>
      <xdr:row>24</xdr:row>
      <xdr:rowOff>160565</xdr:rowOff>
    </xdr:to>
    <xdr:graphicFrame macro="">
      <xdr:nvGraphicFramePr>
        <xdr:cNvPr id="3" name="Chart 2">
          <a:extLst>
            <a:ext uri="{FF2B5EF4-FFF2-40B4-BE49-F238E27FC236}">
              <a16:creationId xmlns:a16="http://schemas.microsoft.com/office/drawing/2014/main" id="{78F4859C-31E2-418E-90A0-70D206BC8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457200</xdr:colOff>
      <xdr:row>0</xdr:row>
      <xdr:rowOff>0</xdr:rowOff>
    </xdr:from>
    <xdr:to>
      <xdr:col>21</xdr:col>
      <xdr:colOff>76200</xdr:colOff>
      <xdr:row>23</xdr:row>
      <xdr:rowOff>76201</xdr:rowOff>
    </xdr:to>
    <xdr:graphicFrame macro="">
      <xdr:nvGraphicFramePr>
        <xdr:cNvPr id="4" name="Chart 3">
          <a:extLst>
            <a:ext uri="{FF2B5EF4-FFF2-40B4-BE49-F238E27FC236}">
              <a16:creationId xmlns:a16="http://schemas.microsoft.com/office/drawing/2014/main" id="{4387CCB4-266E-491D-94A8-8E1B52AA5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224789</xdr:colOff>
      <xdr:row>0</xdr:row>
      <xdr:rowOff>0</xdr:rowOff>
    </xdr:from>
    <xdr:to>
      <xdr:col>38</xdr:col>
      <xdr:colOff>65463</xdr:colOff>
      <xdr:row>32</xdr:row>
      <xdr:rowOff>106385</xdr:rowOff>
    </xdr:to>
    <xdr:graphicFrame macro="">
      <xdr:nvGraphicFramePr>
        <xdr:cNvPr id="2" name="Chart 1">
          <a:extLst>
            <a:ext uri="{FF2B5EF4-FFF2-40B4-BE49-F238E27FC236}">
              <a16:creationId xmlns:a16="http://schemas.microsoft.com/office/drawing/2014/main" id="{B71A18A4-0B6D-4320-A750-2C9F937C8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27</xdr:row>
      <xdr:rowOff>87086</xdr:rowOff>
    </xdr:from>
    <xdr:to>
      <xdr:col>14</xdr:col>
      <xdr:colOff>500743</xdr:colOff>
      <xdr:row>57</xdr:row>
      <xdr:rowOff>157846</xdr:rowOff>
    </xdr:to>
    <xdr:graphicFrame macro="">
      <xdr:nvGraphicFramePr>
        <xdr:cNvPr id="6" name="Chart 5">
          <a:extLst>
            <a:ext uri="{FF2B5EF4-FFF2-40B4-BE49-F238E27FC236}">
              <a16:creationId xmlns:a16="http://schemas.microsoft.com/office/drawing/2014/main" id="{97EDC63D-03BD-4E45-AE3C-DD2E13E1C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35</xdr:row>
      <xdr:rowOff>114300</xdr:rowOff>
    </xdr:from>
    <xdr:to>
      <xdr:col>37</xdr:col>
      <xdr:colOff>76200</xdr:colOff>
      <xdr:row>67</xdr:row>
      <xdr:rowOff>67294</xdr:rowOff>
    </xdr:to>
    <xdr:graphicFrame macro="">
      <xdr:nvGraphicFramePr>
        <xdr:cNvPr id="7" name="Chart 6">
          <a:extLst>
            <a:ext uri="{FF2B5EF4-FFF2-40B4-BE49-F238E27FC236}">
              <a16:creationId xmlns:a16="http://schemas.microsoft.com/office/drawing/2014/main" id="{A07D2B7D-727F-49B0-9560-224AF0AEE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354711</xdr:colOff>
      <xdr:row>78</xdr:row>
      <xdr:rowOff>156310</xdr:rowOff>
    </xdr:from>
    <xdr:to>
      <xdr:col>45</xdr:col>
      <xdr:colOff>468923</xdr:colOff>
      <xdr:row>125</xdr:row>
      <xdr:rowOff>149680</xdr:rowOff>
    </xdr:to>
    <xdr:graphicFrame macro="">
      <xdr:nvGraphicFramePr>
        <xdr:cNvPr id="5" name="Chart 4">
          <a:extLst>
            <a:ext uri="{FF2B5EF4-FFF2-40B4-BE49-F238E27FC236}">
              <a16:creationId xmlns:a16="http://schemas.microsoft.com/office/drawing/2014/main" id="{B44D55C7-4037-4337-894A-F75BB9190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0</xdr:colOff>
      <xdr:row>79</xdr:row>
      <xdr:rowOff>73144</xdr:rowOff>
    </xdr:from>
    <xdr:to>
      <xdr:col>70</xdr:col>
      <xdr:colOff>0</xdr:colOff>
      <xdr:row>126</xdr:row>
      <xdr:rowOff>30480</xdr:rowOff>
    </xdr:to>
    <xdr:graphicFrame macro="">
      <xdr:nvGraphicFramePr>
        <xdr:cNvPr id="8" name="Chart 7">
          <a:extLst>
            <a:ext uri="{FF2B5EF4-FFF2-40B4-BE49-F238E27FC236}">
              <a16:creationId xmlns:a16="http://schemas.microsoft.com/office/drawing/2014/main" id="{A5EBCB61-6D98-4109-9B9F-DEF7BD67B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187035</xdr:colOff>
      <xdr:row>0</xdr:row>
      <xdr:rowOff>0</xdr:rowOff>
    </xdr:from>
    <xdr:to>
      <xdr:col>52</xdr:col>
      <xdr:colOff>387926</xdr:colOff>
      <xdr:row>32</xdr:row>
      <xdr:rowOff>27709</xdr:rowOff>
    </xdr:to>
    <xdr:graphicFrame macro="">
      <xdr:nvGraphicFramePr>
        <xdr:cNvPr id="10" name="Chart 9">
          <a:extLst>
            <a:ext uri="{FF2B5EF4-FFF2-40B4-BE49-F238E27FC236}">
              <a16:creationId xmlns:a16="http://schemas.microsoft.com/office/drawing/2014/main" id="{7583D54C-F01D-49DE-991E-52F48FF49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59711</xdr:colOff>
      <xdr:row>15</xdr:row>
      <xdr:rowOff>6506</xdr:rowOff>
    </xdr:from>
    <xdr:to>
      <xdr:col>28</xdr:col>
      <xdr:colOff>182404</xdr:colOff>
      <xdr:row>19</xdr:row>
      <xdr:rowOff>68148</xdr:rowOff>
    </xdr:to>
    <xdr:sp macro="" textlink="">
      <xdr:nvSpPr>
        <xdr:cNvPr id="9" name="Arrow: Right 8">
          <a:extLst>
            <a:ext uri="{FF2B5EF4-FFF2-40B4-BE49-F238E27FC236}">
              <a16:creationId xmlns:a16="http://schemas.microsoft.com/office/drawing/2014/main" id="{93A2F5EE-FB74-43B5-AA9A-20F014F22B38}"/>
            </a:ext>
          </a:extLst>
        </xdr:cNvPr>
        <xdr:cNvSpPr/>
      </xdr:nvSpPr>
      <xdr:spPr>
        <a:xfrm rot="18348670">
          <a:off x="16788922" y="3121952"/>
          <a:ext cx="801871" cy="122693"/>
        </a:xfrm>
        <a:prstGeom prst="right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391886</xdr:colOff>
      <xdr:row>3</xdr:row>
      <xdr:rowOff>141515</xdr:rowOff>
    </xdr:from>
    <xdr:to>
      <xdr:col>28</xdr:col>
      <xdr:colOff>391886</xdr:colOff>
      <xdr:row>25</xdr:row>
      <xdr:rowOff>130629</xdr:rowOff>
    </xdr:to>
    <xdr:cxnSp macro="">
      <xdr:nvCxnSpPr>
        <xdr:cNvPr id="12" name="Straight Connector 11">
          <a:extLst>
            <a:ext uri="{FF2B5EF4-FFF2-40B4-BE49-F238E27FC236}">
              <a16:creationId xmlns:a16="http://schemas.microsoft.com/office/drawing/2014/main" id="{4D302FB1-E93B-4BE3-A095-CDB451500BF1}"/>
            </a:ext>
          </a:extLst>
        </xdr:cNvPr>
        <xdr:cNvCxnSpPr/>
      </xdr:nvCxnSpPr>
      <xdr:spPr>
        <a:xfrm flipV="1">
          <a:off x="17460686" y="696686"/>
          <a:ext cx="0" cy="4060372"/>
        </a:xfrm>
        <a:prstGeom prst="line">
          <a:avLst/>
        </a:prstGeom>
        <a:ln w="28575">
          <a:prstDash val="lgDash"/>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326571</xdr:colOff>
      <xdr:row>19</xdr:row>
      <xdr:rowOff>21771</xdr:rowOff>
    </xdr:from>
    <xdr:to>
      <xdr:col>29</xdr:col>
      <xdr:colOff>293915</xdr:colOff>
      <xdr:row>21</xdr:row>
      <xdr:rowOff>10886</xdr:rowOff>
    </xdr:to>
    <xdr:sp macro="" textlink="">
      <xdr:nvSpPr>
        <xdr:cNvPr id="15" name="TextBox 14">
          <a:extLst>
            <a:ext uri="{FF2B5EF4-FFF2-40B4-BE49-F238E27FC236}">
              <a16:creationId xmlns:a16="http://schemas.microsoft.com/office/drawing/2014/main" id="{67666FC6-CDA2-4ED4-A37D-B5A16B6803DB}"/>
            </a:ext>
          </a:extLst>
        </xdr:cNvPr>
        <xdr:cNvSpPr txBox="1"/>
      </xdr:nvSpPr>
      <xdr:spPr>
        <a:xfrm>
          <a:off x="15566571" y="3537857"/>
          <a:ext cx="2405744" cy="3592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Biden</a:t>
          </a:r>
          <a:r>
            <a:rPr lang="en-US" sz="1800" b="1" baseline="0"/>
            <a:t> Climate Target</a:t>
          </a:r>
          <a:endParaRPr lang="en-US" sz="18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20Envy/Dropbox/EV_Model/1_Input/emission_electricity_generation_weigh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_pollution"/>
      <sheetName val="pollution_by_fuel"/>
      <sheetName val="USA"/>
      <sheetName val="CA"/>
      <sheetName val="WA"/>
    </sheetNames>
    <sheetDataSet>
      <sheetData sheetId="0"/>
      <sheetData sheetId="1">
        <row r="5">
          <cell r="E5">
            <v>2.21</v>
          </cell>
        </row>
        <row r="6">
          <cell r="E6">
            <v>0.91</v>
          </cell>
        </row>
        <row r="7">
          <cell r="E7">
            <v>2.13</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reuters.com/article/us-autos-electric-norway/electric-cars-rise-to-record-54-market-share-in-norway-in-2020-idUKKBN29A0ZT?edition-redirect=in" TargetMode="External"/><Relationship Id="rId7" Type="http://schemas.openxmlformats.org/officeDocument/2006/relationships/hyperlink" Target="https://www.statista.com/statistics/1070949/worldwide-emission-from-oil-production-by-country/" TargetMode="External"/><Relationship Id="rId2" Type="http://schemas.openxmlformats.org/officeDocument/2006/relationships/hyperlink" Target="https://www.epa.gov/automotive-trends/highlights-automotive-trends-report" TargetMode="External"/><Relationship Id="rId1" Type="http://schemas.openxmlformats.org/officeDocument/2006/relationships/hyperlink" Target="https://www.epa.gov/energy/greenhouse-gases-equivalencies-calculator-calculations-and-references" TargetMode="External"/><Relationship Id="rId6" Type="http://schemas.openxmlformats.org/officeDocument/2006/relationships/hyperlink" Target="https://nepis.epa.gov/Exe/ZyPDF.cgi?Dockey=P100ZK4P.pdf" TargetMode="External"/><Relationship Id="rId5" Type="http://schemas.openxmlformats.org/officeDocument/2006/relationships/hyperlink" Target="https://www.eia.gov/totalenergy/data/annual/showtext.php?t=pTB0208" TargetMode="External"/><Relationship Id="rId10" Type="http://schemas.openxmlformats.org/officeDocument/2006/relationships/comments" Target="../comments1.xml"/><Relationship Id="rId4" Type="http://schemas.openxmlformats.org/officeDocument/2006/relationships/hyperlink" Target="https://about.bnef.com/electric-vehicle-outlook/.%20Accessed:%2001/29/2021"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4F207-69BA-4C10-A5FC-55E058317312}">
  <dimension ref="A1:A11"/>
  <sheetViews>
    <sheetView workbookViewId="0">
      <selection activeCell="A11" sqref="A11"/>
    </sheetView>
  </sheetViews>
  <sheetFormatPr defaultRowHeight="14.4" x14ac:dyDescent="0.3"/>
  <cols>
    <col min="1" max="1" width="86.88671875" customWidth="1"/>
  </cols>
  <sheetData>
    <row r="1" spans="1:1" ht="18" x14ac:dyDescent="0.35">
      <c r="A1" s="4" t="s">
        <v>36</v>
      </c>
    </row>
    <row r="3" spans="1:1" x14ac:dyDescent="0.3">
      <c r="A3" s="15" t="s">
        <v>4</v>
      </c>
    </row>
    <row r="4" spans="1:1" ht="72" customHeight="1" x14ac:dyDescent="0.3">
      <c r="A4" s="14" t="s">
        <v>84</v>
      </c>
    </row>
    <row r="6" spans="1:1" x14ac:dyDescent="0.3">
      <c r="A6" s="15" t="s">
        <v>5</v>
      </c>
    </row>
    <row r="7" spans="1:1" ht="130.19999999999999" customHeight="1" x14ac:dyDescent="0.3">
      <c r="A7" s="14" t="s">
        <v>32</v>
      </c>
    </row>
    <row r="11" spans="1:1" x14ac:dyDescent="0.3">
      <c r="A11" s="87" t="s">
        <v>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652B-FCF7-4093-B61A-3431DA75FBA0}">
  <dimension ref="A1:O69"/>
  <sheetViews>
    <sheetView tabSelected="1" zoomScale="70" zoomScaleNormal="70" workbookViewId="0">
      <selection activeCell="D6" sqref="D6"/>
    </sheetView>
  </sheetViews>
  <sheetFormatPr defaultRowHeight="14.4" x14ac:dyDescent="0.3"/>
  <cols>
    <col min="1" max="1" width="61.77734375" customWidth="1"/>
    <col min="2" max="2" width="25.21875" customWidth="1"/>
    <col min="3" max="3" width="28.6640625" customWidth="1"/>
    <col min="4" max="4" width="60.44140625" customWidth="1"/>
    <col min="5" max="5" width="18.21875" bestFit="1" customWidth="1"/>
    <col min="6" max="6" width="45.109375" customWidth="1"/>
    <col min="7" max="7" width="27.33203125" customWidth="1"/>
    <col min="8" max="8" width="18.6640625" bestFit="1" customWidth="1"/>
    <col min="9" max="9" width="17.21875" customWidth="1"/>
    <col min="10" max="10" width="23" bestFit="1" customWidth="1"/>
    <col min="11" max="11" width="17" bestFit="1" customWidth="1"/>
    <col min="12" max="12" width="33" bestFit="1" customWidth="1"/>
    <col min="13" max="13" width="18.21875" bestFit="1" customWidth="1"/>
    <col min="14" max="14" width="13.88671875" bestFit="1" customWidth="1"/>
    <col min="15" max="15" width="18.77734375" bestFit="1" customWidth="1"/>
    <col min="16" max="16" width="31.21875" bestFit="1" customWidth="1"/>
  </cols>
  <sheetData>
    <row r="1" spans="1:13" ht="21.6" thickBot="1" x14ac:dyDescent="0.45">
      <c r="A1" s="73" t="s">
        <v>38</v>
      </c>
      <c r="B1" s="74" t="s">
        <v>39</v>
      </c>
      <c r="C1" s="74" t="s">
        <v>40</v>
      </c>
      <c r="D1" s="75" t="s">
        <v>42</v>
      </c>
      <c r="E1" s="5"/>
      <c r="F1" s="134" t="s">
        <v>118</v>
      </c>
      <c r="I1" s="28"/>
      <c r="J1" s="5"/>
      <c r="K1" s="5"/>
      <c r="L1" s="10"/>
      <c r="M1" s="5"/>
    </row>
    <row r="2" spans="1:13" ht="24" customHeight="1" thickBot="1" x14ac:dyDescent="0.45">
      <c r="A2" s="174" t="s">
        <v>31</v>
      </c>
      <c r="B2" s="69">
        <v>328000</v>
      </c>
      <c r="C2" s="70" t="s">
        <v>56</v>
      </c>
      <c r="D2" s="71" t="s">
        <v>57</v>
      </c>
      <c r="F2" s="128" t="s">
        <v>107</v>
      </c>
      <c r="G2" s="125" t="s">
        <v>111</v>
      </c>
      <c r="H2" s="125" t="s">
        <v>117</v>
      </c>
      <c r="I2" s="126" t="s">
        <v>112</v>
      </c>
      <c r="J2" s="127" t="s">
        <v>117</v>
      </c>
    </row>
    <row r="3" spans="1:13" ht="14.4" customHeight="1" x14ac:dyDescent="0.3">
      <c r="A3" s="46" t="s">
        <v>51</v>
      </c>
      <c r="B3" s="175">
        <v>253814184</v>
      </c>
      <c r="C3" s="86" t="s">
        <v>140</v>
      </c>
      <c r="D3" s="88" t="s">
        <v>141</v>
      </c>
      <c r="F3" s="133" t="s">
        <v>110</v>
      </c>
      <c r="G3" s="120">
        <v>1231600000</v>
      </c>
      <c r="H3" s="121" t="s">
        <v>114</v>
      </c>
      <c r="I3" s="114">
        <f>(136568083*567)+(95336839*617)</f>
        <v>136256932724</v>
      </c>
      <c r="J3" s="122" t="s">
        <v>113</v>
      </c>
      <c r="K3" t="s">
        <v>61</v>
      </c>
    </row>
    <row r="4" spans="1:13" ht="19.2" customHeight="1" x14ac:dyDescent="0.3">
      <c r="A4" s="46" t="s">
        <v>52</v>
      </c>
      <c r="B4" s="100">
        <v>8.0000000000000002E-3</v>
      </c>
      <c r="C4" s="86" t="s">
        <v>87</v>
      </c>
      <c r="D4" s="72" t="s">
        <v>126</v>
      </c>
      <c r="E4" s="94"/>
      <c r="F4" s="118" t="s">
        <v>106</v>
      </c>
      <c r="G4" s="53">
        <f>G3*0.5</f>
        <v>615800000</v>
      </c>
      <c r="H4" s="1"/>
      <c r="I4" s="1">
        <f>I3/2</f>
        <v>68128466362</v>
      </c>
      <c r="J4" s="115"/>
    </row>
    <row r="5" spans="1:13" ht="19.2" customHeight="1" x14ac:dyDescent="0.3">
      <c r="A5" s="46" t="s">
        <v>96</v>
      </c>
      <c r="B5" s="111">
        <v>0.06</v>
      </c>
      <c r="C5" s="64"/>
      <c r="D5" s="72" t="s">
        <v>126</v>
      </c>
      <c r="F5" s="118" t="s">
        <v>109</v>
      </c>
      <c r="G5" s="123">
        <f>(Base_case!Q13-G3)/G3</f>
        <v>-0.15420383008743588</v>
      </c>
      <c r="H5" s="1"/>
      <c r="I5" s="3">
        <f>(Base_case!P13-I3)/I3</f>
        <v>-0.13975609170371789</v>
      </c>
      <c r="J5" s="115"/>
    </row>
    <row r="6" spans="1:13" ht="19.8" customHeight="1" x14ac:dyDescent="0.4">
      <c r="A6" s="46" t="s">
        <v>101</v>
      </c>
      <c r="B6" s="160">
        <v>5.0000000000000001E-3</v>
      </c>
      <c r="C6" s="64"/>
      <c r="D6" s="72" t="s">
        <v>126</v>
      </c>
      <c r="F6" s="129" t="s">
        <v>108</v>
      </c>
      <c r="G6" s="130"/>
      <c r="H6" s="131"/>
      <c r="I6" s="131"/>
      <c r="J6" s="132"/>
    </row>
    <row r="7" spans="1:13" ht="18.600000000000001" customHeight="1" thickBot="1" x14ac:dyDescent="0.35">
      <c r="A7" s="46" t="s">
        <v>53</v>
      </c>
      <c r="B7" s="65">
        <f>B9/B3</f>
        <v>11520.447572780251</v>
      </c>
      <c r="C7" s="86" t="s">
        <v>131</v>
      </c>
      <c r="D7" s="72" t="s">
        <v>78</v>
      </c>
      <c r="F7" s="119" t="s">
        <v>115</v>
      </c>
      <c r="G7" s="124">
        <f>(Test_data!Q13-G3)/G3</f>
        <v>-0.52739386394475363</v>
      </c>
      <c r="H7" s="116" t="s">
        <v>116</v>
      </c>
      <c r="I7" s="76">
        <f>(Test_data!P13-I3)/I3</f>
        <v>-0.51932089074487275</v>
      </c>
      <c r="J7" s="117"/>
    </row>
    <row r="8" spans="1:13" ht="14.4" customHeight="1" x14ac:dyDescent="0.3">
      <c r="A8" s="46" t="s">
        <v>97</v>
      </c>
      <c r="B8" s="113">
        <v>0</v>
      </c>
      <c r="C8" s="48"/>
      <c r="D8" s="72"/>
      <c r="J8" s="18"/>
    </row>
    <row r="9" spans="1:13" ht="15.6" x14ac:dyDescent="0.3">
      <c r="A9" s="46" t="s">
        <v>49</v>
      </c>
      <c r="B9" s="50">
        <f>(2254309+669744)*1000000</f>
        <v>2924053000000</v>
      </c>
      <c r="C9" s="64" t="s">
        <v>50</v>
      </c>
      <c r="D9" s="72" t="s">
        <v>44</v>
      </c>
      <c r="F9" s="99"/>
      <c r="J9" s="5"/>
    </row>
    <row r="10" spans="1:13" ht="18" x14ac:dyDescent="0.35">
      <c r="A10" s="46" t="s">
        <v>33</v>
      </c>
      <c r="B10" s="66">
        <f>8.887*10^(-3)</f>
        <v>8.8870000000000008E-3</v>
      </c>
      <c r="C10" s="64" t="s">
        <v>43</v>
      </c>
      <c r="D10" s="72" t="s">
        <v>44</v>
      </c>
      <c r="F10" s="4" t="s">
        <v>121</v>
      </c>
      <c r="J10" s="5"/>
    </row>
    <row r="11" spans="1:13" ht="15.6" x14ac:dyDescent="0.3">
      <c r="A11" s="46" t="s">
        <v>123</v>
      </c>
      <c r="B11" s="67">
        <v>0.28999999999999998</v>
      </c>
      <c r="C11" s="135" t="s">
        <v>45</v>
      </c>
      <c r="D11" s="115" t="s">
        <v>124</v>
      </c>
      <c r="E11" s="99" t="s">
        <v>61</v>
      </c>
      <c r="G11" s="159"/>
      <c r="K11" s="5"/>
    </row>
    <row r="12" spans="1:13" ht="15.6" x14ac:dyDescent="0.3">
      <c r="A12" s="46" t="s">
        <v>92</v>
      </c>
      <c r="B12" s="173">
        <v>1019260</v>
      </c>
      <c r="C12" s="63" t="s">
        <v>146</v>
      </c>
      <c r="D12" s="72" t="s">
        <v>93</v>
      </c>
      <c r="F12" s="1" t="s">
        <v>120</v>
      </c>
      <c r="G12" s="131"/>
      <c r="H12" s="5"/>
      <c r="K12" s="5"/>
    </row>
    <row r="13" spans="1:13" ht="15.6" x14ac:dyDescent="0.3">
      <c r="A13" s="46" t="s">
        <v>55</v>
      </c>
      <c r="B13" s="68">
        <v>22.6</v>
      </c>
      <c r="C13" s="64"/>
      <c r="D13" s="72" t="s">
        <v>44</v>
      </c>
      <c r="F13" s="1" t="s">
        <v>132</v>
      </c>
      <c r="G13" s="142">
        <v>136287548217.13499</v>
      </c>
      <c r="H13" s="155" t="s">
        <v>133</v>
      </c>
    </row>
    <row r="14" spans="1:13" ht="15.6" x14ac:dyDescent="0.3">
      <c r="A14" s="46" t="s">
        <v>37</v>
      </c>
      <c r="B14" s="161">
        <v>8.3999999999999995E-3</v>
      </c>
      <c r="C14" s="64" t="s">
        <v>46</v>
      </c>
      <c r="D14" s="72" t="s">
        <v>137</v>
      </c>
      <c r="F14" s="1" t="s">
        <v>138</v>
      </c>
      <c r="G14" s="142">
        <f>G13*B18</f>
        <v>184045623.84655192</v>
      </c>
    </row>
    <row r="15" spans="1:13" ht="28.8" x14ac:dyDescent="0.3">
      <c r="A15" s="46" t="s">
        <v>35</v>
      </c>
      <c r="B15" s="162">
        <v>0.05</v>
      </c>
      <c r="C15" s="64" t="s">
        <v>47</v>
      </c>
      <c r="D15" s="72" t="s">
        <v>48</v>
      </c>
      <c r="F15" s="136" t="s">
        <v>122</v>
      </c>
      <c r="G15" s="143">
        <f>G13*B10</f>
        <v>1211187441.0056789</v>
      </c>
    </row>
    <row r="16" spans="1:13" ht="15.6" x14ac:dyDescent="0.3">
      <c r="A16" s="46" t="s">
        <v>95</v>
      </c>
      <c r="B16" s="163">
        <v>0.8</v>
      </c>
      <c r="C16" s="5" t="s">
        <v>88</v>
      </c>
      <c r="D16" s="89" t="s">
        <v>90</v>
      </c>
      <c r="F16" s="1" t="s">
        <v>25</v>
      </c>
      <c r="G16" s="142">
        <f>G15+G14</f>
        <v>1395233064.8522308</v>
      </c>
    </row>
    <row r="17" spans="1:15" ht="15.6" x14ac:dyDescent="0.3">
      <c r="A17" s="46" t="s">
        <v>41</v>
      </c>
      <c r="B17" s="66"/>
      <c r="C17" s="138" t="s">
        <v>89</v>
      </c>
      <c r="D17" s="139" t="s">
        <v>79</v>
      </c>
      <c r="F17" s="1" t="s">
        <v>134</v>
      </c>
      <c r="G17" s="3">
        <f>('2030'!W13-Input_values!G16)/Input_values!G16</f>
        <v>-0.19014423794073126</v>
      </c>
    </row>
    <row r="18" spans="1:15" ht="16.2" thickBot="1" x14ac:dyDescent="0.35">
      <c r="A18" s="176" t="s">
        <v>128</v>
      </c>
      <c r="B18" s="164">
        <v>1.3504214160000015E-3</v>
      </c>
      <c r="C18" s="141" t="s">
        <v>129</v>
      </c>
      <c r="D18" s="140" t="s">
        <v>61</v>
      </c>
      <c r="F18" s="1" t="s">
        <v>139</v>
      </c>
      <c r="G18" s="157">
        <f>('2035'!W13-Input_values!G16)/Input_values!G16</f>
        <v>-0.12480580804380068</v>
      </c>
    </row>
    <row r="19" spans="1:15" ht="18" x14ac:dyDescent="0.35">
      <c r="A19" s="43" t="s">
        <v>82</v>
      </c>
      <c r="F19" s="156" t="s">
        <v>135</v>
      </c>
      <c r="G19" s="158">
        <f>(Base_case!X13-Input_values!G16)/Input_values!G16</f>
        <v>-0.12243462728655183</v>
      </c>
    </row>
    <row r="20" spans="1:15" x14ac:dyDescent="0.3">
      <c r="H20" s="5"/>
      <c r="I20" s="5"/>
      <c r="J20" s="5"/>
      <c r="K20" s="5"/>
    </row>
    <row r="21" spans="1:15" ht="21.6" thickBot="1" x14ac:dyDescent="0.45">
      <c r="A21" s="82" t="s">
        <v>80</v>
      </c>
      <c r="B21" s="83"/>
      <c r="C21" s="83"/>
      <c r="D21" s="83"/>
      <c r="E21" s="83"/>
      <c r="H21" s="5"/>
      <c r="I21" s="5"/>
      <c r="J21" s="5"/>
      <c r="K21" s="5"/>
    </row>
    <row r="23" spans="1:15" ht="18.600000000000001" thickBot="1" x14ac:dyDescent="0.4">
      <c r="A23" s="37" t="s">
        <v>59</v>
      </c>
    </row>
    <row r="24" spans="1:15" ht="15" thickBot="1" x14ac:dyDescent="0.35">
      <c r="A24" s="58" t="s">
        <v>12</v>
      </c>
      <c r="B24" s="59" t="s">
        <v>58</v>
      </c>
      <c r="C24" s="60" t="s">
        <v>34</v>
      </c>
    </row>
    <row r="25" spans="1:15" ht="18.600000000000001" thickBot="1" x14ac:dyDescent="0.4">
      <c r="A25" s="51">
        <v>2011</v>
      </c>
      <c r="B25" s="103">
        <v>17763</v>
      </c>
      <c r="C25" s="52"/>
      <c r="E25" s="37" t="s">
        <v>98</v>
      </c>
      <c r="I25" s="37" t="s">
        <v>73</v>
      </c>
      <c r="K25" s="83"/>
      <c r="L25" s="83"/>
      <c r="M25" s="83"/>
      <c r="N25" s="83"/>
      <c r="O25" s="5"/>
    </row>
    <row r="26" spans="1:15" ht="15" thickBot="1" x14ac:dyDescent="0.35">
      <c r="A26" s="53">
        <v>2012</v>
      </c>
      <c r="B26" s="32">
        <v>53171</v>
      </c>
      <c r="C26" s="54">
        <f>(B26-B25)/B25</f>
        <v>1.9933569779879525</v>
      </c>
      <c r="E26" s="90" t="s">
        <v>1</v>
      </c>
      <c r="F26" s="105" t="s">
        <v>99</v>
      </c>
      <c r="G26" s="110" t="s">
        <v>100</v>
      </c>
      <c r="I26" s="79" t="s">
        <v>1</v>
      </c>
      <c r="J26" s="80" t="s">
        <v>68</v>
      </c>
      <c r="K26" s="80" t="s">
        <v>69</v>
      </c>
      <c r="L26" s="80" t="s">
        <v>70</v>
      </c>
      <c r="M26" s="80" t="s">
        <v>71</v>
      </c>
      <c r="N26" s="81" t="s">
        <v>72</v>
      </c>
    </row>
    <row r="27" spans="1:15" x14ac:dyDescent="0.3">
      <c r="A27" s="53">
        <v>2013</v>
      </c>
      <c r="B27" s="32">
        <v>97102</v>
      </c>
      <c r="C27" s="54">
        <f t="shared" ref="C27:C34" si="0">(B27-B26)/B26</f>
        <v>0.8262210603524478</v>
      </c>
      <c r="E27" s="91">
        <v>2003</v>
      </c>
      <c r="F27" s="106">
        <v>230613448</v>
      </c>
      <c r="G27" s="101">
        <v>16653273.999999998</v>
      </c>
      <c r="I27" s="51">
        <v>2010</v>
      </c>
      <c r="J27" s="78">
        <v>1.350180675594816E-2</v>
      </c>
      <c r="K27" s="78">
        <v>0.23929843174595841</v>
      </c>
      <c r="L27" s="78">
        <v>0.10412836092208812</v>
      </c>
      <c r="M27" s="78">
        <v>0.19551150921738081</v>
      </c>
      <c r="N27" s="52">
        <v>0.44755989135862451</v>
      </c>
    </row>
    <row r="28" spans="1:15" x14ac:dyDescent="0.3">
      <c r="A28" s="53">
        <v>2014</v>
      </c>
      <c r="B28" s="32">
        <v>118882</v>
      </c>
      <c r="C28" s="54">
        <f t="shared" si="0"/>
        <v>0.22430022038680975</v>
      </c>
      <c r="E28" s="61">
        <v>2004</v>
      </c>
      <c r="F28" s="107">
        <v>236447342</v>
      </c>
      <c r="G28" s="101">
        <v>16757430.000000004</v>
      </c>
      <c r="I28" s="53">
        <v>2011</v>
      </c>
      <c r="J28" s="3">
        <v>1.2057091353503102E-2</v>
      </c>
      <c r="K28" s="3">
        <v>0.2470022575729022</v>
      </c>
      <c r="L28" s="3">
        <v>0.12601502774882342</v>
      </c>
      <c r="M28" s="3">
        <v>0.19254641770201045</v>
      </c>
      <c r="N28" s="54">
        <v>0.42237920562276077</v>
      </c>
    </row>
    <row r="29" spans="1:15" x14ac:dyDescent="0.3">
      <c r="A29" s="53">
        <v>2015</v>
      </c>
      <c r="B29" s="32">
        <v>114023</v>
      </c>
      <c r="C29" s="54">
        <f t="shared" si="0"/>
        <v>-4.0872461768812769E-2</v>
      </c>
      <c r="E29" s="61">
        <v>2005</v>
      </c>
      <c r="F29" s="107">
        <v>240386921</v>
      </c>
      <c r="G29" s="101">
        <v>17006550</v>
      </c>
      <c r="I29" s="53">
        <v>2012</v>
      </c>
      <c r="J29" s="3">
        <v>1.0834941853648377E-2</v>
      </c>
      <c r="K29" s="3">
        <v>0.30239750778433938</v>
      </c>
      <c r="L29" s="3">
        <v>0.12351616668715686</v>
      </c>
      <c r="M29" s="3">
        <v>0.18977476343847838</v>
      </c>
      <c r="N29" s="54">
        <v>0.37347662023637695</v>
      </c>
    </row>
    <row r="30" spans="1:15" x14ac:dyDescent="0.3">
      <c r="A30" s="53">
        <v>2016</v>
      </c>
      <c r="B30" s="32">
        <v>159616</v>
      </c>
      <c r="C30" s="54">
        <f t="shared" si="0"/>
        <v>0.39985792340141901</v>
      </c>
      <c r="E30" s="61">
        <v>2006</v>
      </c>
      <c r="F30" s="107">
        <v>243343727</v>
      </c>
      <c r="G30" s="101">
        <v>16557725.999999998</v>
      </c>
      <c r="I30" s="53">
        <v>2013</v>
      </c>
      <c r="J30" s="3">
        <v>1.2008638879232444E-2</v>
      </c>
      <c r="K30" s="3">
        <v>0.27609454129122102</v>
      </c>
      <c r="L30" s="3">
        <v>0.13014053819647531</v>
      </c>
      <c r="M30" s="3">
        <v>0.19366653965974728</v>
      </c>
      <c r="N30" s="54">
        <v>0.38808974197332385</v>
      </c>
    </row>
    <row r="31" spans="1:15" x14ac:dyDescent="0.3">
      <c r="A31" s="53">
        <v>2017</v>
      </c>
      <c r="B31" s="32">
        <v>195581</v>
      </c>
      <c r="C31" s="54">
        <f t="shared" si="0"/>
        <v>0.22532202285485164</v>
      </c>
      <c r="E31" s="61">
        <v>2007</v>
      </c>
      <c r="F31" s="107">
        <v>246430169</v>
      </c>
      <c r="G31" s="101">
        <v>16130662.999999998</v>
      </c>
      <c r="I31" s="53">
        <v>2014</v>
      </c>
      <c r="J31" s="3">
        <v>1.2069019526252089E-2</v>
      </c>
      <c r="K31" s="3">
        <v>0.27445876682220349</v>
      </c>
      <c r="L31" s="3">
        <v>0.13394240891560105</v>
      </c>
      <c r="M31" s="3">
        <v>0.1942015423887555</v>
      </c>
      <c r="N31" s="54">
        <v>0.38532826234718776</v>
      </c>
    </row>
    <row r="32" spans="1:15" x14ac:dyDescent="0.3">
      <c r="A32" s="53">
        <v>2018</v>
      </c>
      <c r="B32" s="32">
        <v>361315</v>
      </c>
      <c r="C32" s="54">
        <f t="shared" si="0"/>
        <v>0.84739315168651352</v>
      </c>
      <c r="E32" s="61">
        <v>2008</v>
      </c>
      <c r="F32" s="107">
        <v>247321430</v>
      </c>
      <c r="G32" s="101">
        <v>13687930.000000004</v>
      </c>
      <c r="I32" s="53">
        <v>2015</v>
      </c>
      <c r="J32" s="3">
        <v>1.2293459376096022E-2</v>
      </c>
      <c r="K32" s="3">
        <v>0.32589608402914327</v>
      </c>
      <c r="L32" s="3">
        <v>0.136465227235397</v>
      </c>
      <c r="M32" s="3">
        <v>0.19482615216651419</v>
      </c>
      <c r="N32" s="54">
        <v>0.33051907719284956</v>
      </c>
    </row>
    <row r="33" spans="1:14" x14ac:dyDescent="0.3">
      <c r="A33" s="53">
        <v>2019</v>
      </c>
      <c r="B33" s="104">
        <v>326644</v>
      </c>
      <c r="C33" s="54">
        <f t="shared" si="0"/>
        <v>-9.5957820738137078E-2</v>
      </c>
      <c r="E33" s="61">
        <v>2009</v>
      </c>
      <c r="F33" s="107">
        <v>245440893</v>
      </c>
      <c r="G33" s="101">
        <v>10267354.000000004</v>
      </c>
      <c r="I33" s="53">
        <v>2016</v>
      </c>
      <c r="J33" s="3">
        <v>1.076313785859568E-2</v>
      </c>
      <c r="K33" s="3">
        <v>0.33654283715887573</v>
      </c>
      <c r="L33" s="3">
        <v>0.15340237132779524</v>
      </c>
      <c r="M33" s="3">
        <v>0.19672725860485529</v>
      </c>
      <c r="N33" s="54">
        <v>0.30256439504987798</v>
      </c>
    </row>
    <row r="34" spans="1:14" ht="16.2" thickBot="1" x14ac:dyDescent="0.35">
      <c r="A34" s="55">
        <v>2020</v>
      </c>
      <c r="B34" s="56">
        <v>328000</v>
      </c>
      <c r="C34" s="57">
        <f t="shared" si="0"/>
        <v>4.1513084581379115E-3</v>
      </c>
      <c r="E34" s="61">
        <v>2010</v>
      </c>
      <c r="F34" s="107">
        <v>241214494</v>
      </c>
      <c r="G34" s="101">
        <v>11440949.999999998</v>
      </c>
      <c r="I34" s="53">
        <v>2017</v>
      </c>
      <c r="J34" s="3">
        <v>9.969816526142615E-3</v>
      </c>
      <c r="K34" s="3">
        <v>0.31945765484126509</v>
      </c>
      <c r="L34" s="3">
        <v>0.17509297352727751</v>
      </c>
      <c r="M34" s="3">
        <v>0.19834851221678784</v>
      </c>
      <c r="N34" s="54">
        <v>0.29713104288852688</v>
      </c>
    </row>
    <row r="35" spans="1:14" x14ac:dyDescent="0.3">
      <c r="A35" t="s">
        <v>62</v>
      </c>
      <c r="B35" s="45" t="s">
        <v>54</v>
      </c>
      <c r="C35" t="s">
        <v>61</v>
      </c>
      <c r="E35" s="61">
        <v>2011</v>
      </c>
      <c r="F35" s="107">
        <v>244112115</v>
      </c>
      <c r="G35" s="101">
        <v>12647046</v>
      </c>
      <c r="I35" s="53">
        <v>2018</v>
      </c>
      <c r="J35" s="3">
        <v>1.0874406169077394E-2</v>
      </c>
      <c r="K35" s="3">
        <v>0.34914370444906501</v>
      </c>
      <c r="L35" s="3">
        <v>0.17499695392500184</v>
      </c>
      <c r="M35" s="3">
        <v>0.19180588725176093</v>
      </c>
      <c r="N35" s="54">
        <v>0.27317904820509481</v>
      </c>
    </row>
    <row r="36" spans="1:14" x14ac:dyDescent="0.3">
      <c r="A36" t="s">
        <v>63</v>
      </c>
      <c r="B36" s="45" t="s">
        <v>56</v>
      </c>
      <c r="C36" t="s">
        <v>61</v>
      </c>
      <c r="E36" s="61">
        <v>2012</v>
      </c>
      <c r="F36" s="107">
        <v>244419938</v>
      </c>
      <c r="G36" s="101">
        <v>14325046</v>
      </c>
      <c r="I36" s="53">
        <v>2019</v>
      </c>
      <c r="J36" s="3">
        <v>9.6898507091064904E-3</v>
      </c>
      <c r="K36" s="3">
        <v>0.38087655396869285</v>
      </c>
      <c r="L36" s="3">
        <v>0.18190690455889647</v>
      </c>
      <c r="M36" s="3">
        <v>0.19489314228235724</v>
      </c>
      <c r="N36" s="54">
        <v>0.23263354848094678</v>
      </c>
    </row>
    <row r="37" spans="1:14" x14ac:dyDescent="0.3">
      <c r="E37" s="61">
        <v>2013</v>
      </c>
      <c r="F37" s="107">
        <v>246607586</v>
      </c>
      <c r="G37" s="101">
        <v>15525427.999999998</v>
      </c>
      <c r="I37" s="53">
        <v>2020</v>
      </c>
      <c r="J37" s="3">
        <v>7.8775898354884986E-3</v>
      </c>
      <c r="K37" s="3">
        <v>0.40293835426997893</v>
      </c>
      <c r="L37" s="3">
        <v>0.20538785609172244</v>
      </c>
      <c r="M37" s="3">
        <v>0.19324132469972063</v>
      </c>
      <c r="N37" s="54">
        <v>0.19055487510308955</v>
      </c>
    </row>
    <row r="38" spans="1:14" x14ac:dyDescent="0.3">
      <c r="E38" s="61">
        <v>2014</v>
      </c>
      <c r="F38" s="107">
        <v>251061194</v>
      </c>
      <c r="G38" s="101">
        <v>16303578.000000002</v>
      </c>
      <c r="I38" s="53">
        <v>2021</v>
      </c>
      <c r="J38" s="3">
        <v>6.8593201828761078E-3</v>
      </c>
      <c r="K38" s="3">
        <v>0.34941902400086533</v>
      </c>
      <c r="L38" s="3">
        <v>0.2272255655879552</v>
      </c>
      <c r="M38" s="3">
        <v>0.18608710620843733</v>
      </c>
      <c r="N38" s="54">
        <v>0.23040898401986609</v>
      </c>
    </row>
    <row r="39" spans="1:14" x14ac:dyDescent="0.3">
      <c r="E39" s="61">
        <v>2015</v>
      </c>
      <c r="F39" s="107">
        <v>254120376</v>
      </c>
      <c r="G39" s="101">
        <v>17273081</v>
      </c>
      <c r="I39" s="53">
        <v>2022</v>
      </c>
      <c r="J39" s="3">
        <v>6.9140438359453632E-3</v>
      </c>
      <c r="K39" s="3">
        <v>0.34301195147349178</v>
      </c>
      <c r="L39" s="3">
        <v>0.23595366200711532</v>
      </c>
      <c r="M39" s="3">
        <v>0.17639776502131665</v>
      </c>
      <c r="N39" s="54">
        <v>0.23772257766213081</v>
      </c>
    </row>
    <row r="40" spans="1:14" x14ac:dyDescent="0.3">
      <c r="E40" s="61">
        <v>2016</v>
      </c>
      <c r="F40" s="107">
        <v>259143542</v>
      </c>
      <c r="G40" s="101">
        <v>17425301</v>
      </c>
      <c r="I40" s="53">
        <v>2023</v>
      </c>
      <c r="J40" s="3">
        <v>6.6551882865944238E-3</v>
      </c>
      <c r="K40" s="3">
        <v>0.35338020706976464</v>
      </c>
      <c r="L40" s="3">
        <v>0.25657127068720265</v>
      </c>
      <c r="M40" s="3">
        <v>0.17727956410442991</v>
      </c>
      <c r="N40" s="54">
        <v>0.20611376985200827</v>
      </c>
    </row>
    <row r="41" spans="1:14" x14ac:dyDescent="0.3">
      <c r="E41" s="61">
        <v>2017</v>
      </c>
      <c r="F41" s="107">
        <v>262782464</v>
      </c>
      <c r="G41" s="101">
        <v>17235892</v>
      </c>
      <c r="I41" s="53">
        <v>2024</v>
      </c>
      <c r="J41" s="3">
        <v>6.42766807303451E-3</v>
      </c>
      <c r="K41" s="3">
        <v>0.34700324166029844</v>
      </c>
      <c r="L41" s="3">
        <v>0.28816366535872801</v>
      </c>
      <c r="M41" s="3">
        <v>0.17598751116766906</v>
      </c>
      <c r="N41" s="54">
        <v>0.1824179137402698</v>
      </c>
    </row>
    <row r="42" spans="1:14" ht="21.6" thickBot="1" x14ac:dyDescent="0.45">
      <c r="A42" s="82" t="s">
        <v>64</v>
      </c>
      <c r="E42" s="61">
        <v>2018</v>
      </c>
      <c r="F42" s="107">
        <v>263943763</v>
      </c>
      <c r="G42" s="101">
        <v>17203454</v>
      </c>
      <c r="H42" s="47" t="s">
        <v>61</v>
      </c>
      <c r="I42" s="53">
        <v>2025</v>
      </c>
      <c r="J42" s="3">
        <v>6.2765202342227591E-3</v>
      </c>
      <c r="K42" s="3">
        <v>0.35758910332128024</v>
      </c>
      <c r="L42" s="3">
        <v>0.30143607893209395</v>
      </c>
      <c r="M42" s="3">
        <v>0.17179062152465618</v>
      </c>
      <c r="N42" s="54">
        <v>0.16290767598774686</v>
      </c>
    </row>
    <row r="43" spans="1:14" ht="29.4" thickBot="1" x14ac:dyDescent="0.35">
      <c r="A43" s="84" t="s">
        <v>103</v>
      </c>
      <c r="E43" s="62">
        <v>2019</v>
      </c>
      <c r="F43" s="108">
        <v>266899827</v>
      </c>
      <c r="G43" s="102">
        <v>17066969</v>
      </c>
      <c r="I43" s="53">
        <v>2026</v>
      </c>
      <c r="J43" s="3">
        <v>6.1092702936127131E-3</v>
      </c>
      <c r="K43" s="3">
        <v>0.36377702069686785</v>
      </c>
      <c r="L43" s="3">
        <v>0.31359297559684074</v>
      </c>
      <c r="M43" s="3">
        <v>0.15089792368712035</v>
      </c>
      <c r="N43" s="54">
        <v>0.16562280972555837</v>
      </c>
    </row>
    <row r="44" spans="1:14" ht="31.2" x14ac:dyDescent="0.3">
      <c r="A44" s="49" t="s">
        <v>65</v>
      </c>
      <c r="E44" s="137">
        <v>2020</v>
      </c>
      <c r="G44">
        <v>14379393</v>
      </c>
      <c r="I44" s="53">
        <v>2027</v>
      </c>
      <c r="J44" s="3">
        <v>5.9470413098812701E-3</v>
      </c>
      <c r="K44" s="3">
        <v>0.36436160467812756</v>
      </c>
      <c r="L44" s="3">
        <v>0.32390535436908069</v>
      </c>
      <c r="M44" s="3">
        <v>0.14679451561551909</v>
      </c>
      <c r="N44" s="54">
        <v>0.15899148402739141</v>
      </c>
    </row>
    <row r="45" spans="1:14" ht="15.6" x14ac:dyDescent="0.3">
      <c r="A45" s="49" t="s">
        <v>77</v>
      </c>
      <c r="E45" t="s">
        <v>60</v>
      </c>
      <c r="F45" s="109" t="s">
        <v>87</v>
      </c>
      <c r="I45" s="53">
        <v>2028</v>
      </c>
      <c r="J45" s="3">
        <v>5.8264176229183727E-3</v>
      </c>
      <c r="K45" s="3">
        <v>0.35832653000720643</v>
      </c>
      <c r="L45" s="3">
        <v>0.3306688978173638</v>
      </c>
      <c r="M45" s="3">
        <v>0.14600831192976957</v>
      </c>
      <c r="N45" s="54">
        <v>0.15916984262274181</v>
      </c>
    </row>
    <row r="46" spans="1:14" x14ac:dyDescent="0.3">
      <c r="A46" s="48" t="s">
        <v>76</v>
      </c>
      <c r="I46" s="53">
        <v>2029</v>
      </c>
      <c r="J46" s="3">
        <v>5.6613063451512666E-3</v>
      </c>
      <c r="K46" s="3">
        <v>0.35592209246601342</v>
      </c>
      <c r="L46" s="3">
        <v>0.33838905689604587</v>
      </c>
      <c r="M46" s="3">
        <v>0.14150946570641473</v>
      </c>
      <c r="N46" s="54">
        <v>0.15851807858637473</v>
      </c>
    </row>
    <row r="47" spans="1:14" x14ac:dyDescent="0.3">
      <c r="A47" s="48" t="s">
        <v>66</v>
      </c>
      <c r="I47" s="53">
        <v>2030</v>
      </c>
      <c r="J47" s="3">
        <v>5.5694822705348096E-3</v>
      </c>
      <c r="K47" s="3">
        <v>0.34905466256871381</v>
      </c>
      <c r="L47" s="3">
        <v>0.34906161852771306</v>
      </c>
      <c r="M47" s="3">
        <v>0.14084156642689638</v>
      </c>
      <c r="N47" s="54">
        <v>0.15547267020614186</v>
      </c>
    </row>
    <row r="48" spans="1:14" ht="28.8" x14ac:dyDescent="0.3">
      <c r="A48" s="48" t="s">
        <v>104</v>
      </c>
      <c r="I48" s="53">
        <v>2031</v>
      </c>
      <c r="J48" s="3">
        <v>5.4171392466717799E-3</v>
      </c>
      <c r="K48" s="3">
        <v>0.34894620399076259</v>
      </c>
      <c r="L48" s="3">
        <v>0.35417845777022694</v>
      </c>
      <c r="M48" s="3">
        <v>0.13994833320662858</v>
      </c>
      <c r="N48" s="54">
        <v>0.1515098657857101</v>
      </c>
    </row>
    <row r="49" spans="1:14" ht="28.8" x14ac:dyDescent="0.3">
      <c r="A49" s="48" t="s">
        <v>67</v>
      </c>
      <c r="I49" s="53">
        <v>2032</v>
      </c>
      <c r="J49" s="3">
        <v>5.3581313236026008E-3</v>
      </c>
      <c r="K49" s="3">
        <v>0.34793895869389868</v>
      </c>
      <c r="L49" s="3">
        <v>0.35964993196383704</v>
      </c>
      <c r="M49" s="3">
        <v>0.13923116714210029</v>
      </c>
      <c r="N49" s="54">
        <v>0.14782181087656149</v>
      </c>
    </row>
    <row r="50" spans="1:14" ht="28.8" x14ac:dyDescent="0.3">
      <c r="A50" s="48" t="s">
        <v>105</v>
      </c>
      <c r="I50" s="53">
        <v>2033</v>
      </c>
      <c r="J50" s="3">
        <v>5.2938206542921841E-3</v>
      </c>
      <c r="K50" s="3">
        <v>0.3464240558741109</v>
      </c>
      <c r="L50" s="3">
        <v>0.3652936820815661</v>
      </c>
      <c r="M50" s="3">
        <v>0.13651731389358296</v>
      </c>
      <c r="N50" s="54">
        <v>0.14647112749644778</v>
      </c>
    </row>
    <row r="51" spans="1:14" x14ac:dyDescent="0.3">
      <c r="I51" s="53">
        <v>2034</v>
      </c>
      <c r="J51" s="3">
        <v>5.2431229913636052E-3</v>
      </c>
      <c r="K51" s="3">
        <v>0.34551185055461209</v>
      </c>
      <c r="L51" s="3">
        <v>0.37239748891245689</v>
      </c>
      <c r="M51" s="3">
        <v>0.13183512738850953</v>
      </c>
      <c r="N51" s="54">
        <v>0.14501241015305796</v>
      </c>
    </row>
    <row r="52" spans="1:14" x14ac:dyDescent="0.3">
      <c r="I52" s="53">
        <v>2035</v>
      </c>
      <c r="J52" s="3">
        <v>5.1308607715096427E-3</v>
      </c>
      <c r="K52" s="3">
        <v>0.34069568591309779</v>
      </c>
      <c r="L52" s="3">
        <v>0.38254435379253876</v>
      </c>
      <c r="M52" s="3">
        <v>0.13101727276122474</v>
      </c>
      <c r="N52" s="54">
        <v>0.14061182676162898</v>
      </c>
    </row>
    <row r="53" spans="1:14" x14ac:dyDescent="0.3">
      <c r="I53" s="53">
        <v>2036</v>
      </c>
      <c r="J53" s="3">
        <v>5.0551242960339858E-3</v>
      </c>
      <c r="K53" s="3">
        <v>0.33975555078754144</v>
      </c>
      <c r="L53" s="3">
        <v>0.38762103199942788</v>
      </c>
      <c r="M53" s="3">
        <v>0.1284591435301963</v>
      </c>
      <c r="N53" s="54">
        <v>0.13910914938680038</v>
      </c>
    </row>
    <row r="54" spans="1:14" ht="21.6" thickBot="1" x14ac:dyDescent="0.45">
      <c r="A54" s="82" t="s">
        <v>75</v>
      </c>
      <c r="I54" s="53">
        <v>2037</v>
      </c>
      <c r="J54" s="3">
        <v>4.9850388285590987E-3</v>
      </c>
      <c r="K54" s="3">
        <v>0.34131778286535491</v>
      </c>
      <c r="L54" s="3">
        <v>0.39048243474963018</v>
      </c>
      <c r="M54" s="3">
        <v>0.12731734879421963</v>
      </c>
      <c r="N54" s="54">
        <v>0.13589739476223608</v>
      </c>
    </row>
    <row r="55" spans="1:14" ht="17.399999999999999" customHeight="1" x14ac:dyDescent="0.3">
      <c r="A55" s="84" t="s">
        <v>81</v>
      </c>
      <c r="I55" s="53">
        <v>2038</v>
      </c>
      <c r="J55" s="3">
        <v>4.8711718141295829E-3</v>
      </c>
      <c r="K55" s="3">
        <v>0.34473762459206353</v>
      </c>
      <c r="L55" s="3">
        <v>0.39319763025843346</v>
      </c>
      <c r="M55" s="3">
        <v>0.12612859423653022</v>
      </c>
      <c r="N55" s="54">
        <v>0.13106497909884324</v>
      </c>
    </row>
    <row r="56" spans="1:14" ht="95.4" customHeight="1" x14ac:dyDescent="0.3">
      <c r="I56" s="53">
        <v>2039</v>
      </c>
      <c r="J56" s="3">
        <v>4.7966323525658267E-3</v>
      </c>
      <c r="K56" s="3">
        <v>0.34724312143633451</v>
      </c>
      <c r="L56" s="3">
        <v>0.39428914560388267</v>
      </c>
      <c r="M56" s="3">
        <v>0.12491775432523829</v>
      </c>
      <c r="N56" s="54">
        <v>0.12875334628197874</v>
      </c>
    </row>
    <row r="57" spans="1:14" x14ac:dyDescent="0.3">
      <c r="I57" s="53">
        <v>2040</v>
      </c>
      <c r="J57" s="3">
        <v>4.7204682169205555E-3</v>
      </c>
      <c r="K57" s="3">
        <v>0.35032975661670934</v>
      </c>
      <c r="L57" s="3">
        <v>0.39557458740109819</v>
      </c>
      <c r="M57" s="3">
        <v>0.12211013814409137</v>
      </c>
      <c r="N57" s="54">
        <v>0.12726504962118046</v>
      </c>
    </row>
    <row r="58" spans="1:14" x14ac:dyDescent="0.3">
      <c r="I58" s="53">
        <v>2041</v>
      </c>
      <c r="J58" s="3">
        <v>4.6086656010108102E-3</v>
      </c>
      <c r="K58" s="3">
        <v>0.35028827782176858</v>
      </c>
      <c r="L58" s="3">
        <v>0.39864537950788448</v>
      </c>
      <c r="M58" s="3">
        <v>0.12117013605742692</v>
      </c>
      <c r="N58" s="54">
        <v>0.12528754101190931</v>
      </c>
    </row>
    <row r="59" spans="1:14" x14ac:dyDescent="0.3">
      <c r="A59" s="87" t="s">
        <v>86</v>
      </c>
      <c r="I59" s="53">
        <v>2042</v>
      </c>
      <c r="J59" s="3">
        <v>4.4892297982330655E-3</v>
      </c>
      <c r="K59" s="3">
        <v>0.35193881136188365</v>
      </c>
      <c r="L59" s="3">
        <v>0.39948150160063395</v>
      </c>
      <c r="M59" s="3">
        <v>0.12006003702682323</v>
      </c>
      <c r="N59" s="54">
        <v>0.12403042021242613</v>
      </c>
    </row>
    <row r="60" spans="1:14" x14ac:dyDescent="0.3">
      <c r="I60" s="53">
        <v>2043</v>
      </c>
      <c r="J60" s="3">
        <v>4.3477776920011211E-3</v>
      </c>
      <c r="K60" s="3">
        <v>0.35500461827862817</v>
      </c>
      <c r="L60" s="3">
        <v>0.40050912193390092</v>
      </c>
      <c r="M60" s="3">
        <v>0.11885318612019356</v>
      </c>
      <c r="N60" s="54">
        <v>0.12128529597527614</v>
      </c>
    </row>
    <row r="61" spans="1:14" x14ac:dyDescent="0.3">
      <c r="I61" s="53">
        <v>2044</v>
      </c>
      <c r="J61" s="3">
        <v>4.2087919380767325E-3</v>
      </c>
      <c r="K61" s="3">
        <v>0.35653174832123458</v>
      </c>
      <c r="L61" s="3">
        <v>0.40254281010907983</v>
      </c>
      <c r="M61" s="3">
        <v>0.11769638608119548</v>
      </c>
      <c r="N61" s="54">
        <v>0.11902026355041334</v>
      </c>
    </row>
    <row r="62" spans="1:14" x14ac:dyDescent="0.3">
      <c r="I62" s="53">
        <v>2045</v>
      </c>
      <c r="J62" s="3">
        <v>4.0588588642922838E-3</v>
      </c>
      <c r="K62" s="3">
        <v>0.35782251297347339</v>
      </c>
      <c r="L62" s="3">
        <v>0.40621619056557084</v>
      </c>
      <c r="M62" s="3">
        <v>0.11657703258351766</v>
      </c>
      <c r="N62" s="54">
        <v>0.11532540501314588</v>
      </c>
    </row>
    <row r="63" spans="1:14" x14ac:dyDescent="0.3">
      <c r="I63" s="53">
        <v>2046</v>
      </c>
      <c r="J63" s="3">
        <v>3.9323577115041655E-3</v>
      </c>
      <c r="K63" s="3">
        <v>0.35631693321713209</v>
      </c>
      <c r="L63" s="3">
        <v>0.41080815309847829</v>
      </c>
      <c r="M63" s="3">
        <v>0.11535424134278997</v>
      </c>
      <c r="N63" s="54">
        <v>0.11358831463009546</v>
      </c>
    </row>
    <row r="64" spans="1:14" x14ac:dyDescent="0.3">
      <c r="I64" s="53">
        <v>2047</v>
      </c>
      <c r="J64" s="3">
        <v>3.8747084000179169E-3</v>
      </c>
      <c r="K64" s="3">
        <v>0.35555393066292734</v>
      </c>
      <c r="L64" s="3">
        <v>0.41576988005682275</v>
      </c>
      <c r="M64" s="3">
        <v>0.11265930547868648</v>
      </c>
      <c r="N64" s="54">
        <v>0.1121421754015455</v>
      </c>
    </row>
    <row r="65" spans="9:14" x14ac:dyDescent="0.3">
      <c r="I65" s="53">
        <v>2048</v>
      </c>
      <c r="J65" s="3">
        <v>3.8237531649963396E-3</v>
      </c>
      <c r="K65" s="3">
        <v>0.3560637346391658</v>
      </c>
      <c r="L65" s="3">
        <v>0.41735647834037531</v>
      </c>
      <c r="M65" s="3">
        <v>0.11139620175083755</v>
      </c>
      <c r="N65" s="54">
        <v>0.11135983210462512</v>
      </c>
    </row>
    <row r="66" spans="9:14" x14ac:dyDescent="0.3">
      <c r="I66" s="53">
        <v>2049</v>
      </c>
      <c r="J66" s="3">
        <v>3.7483356509372362E-3</v>
      </c>
      <c r="K66" s="3">
        <v>0.35667804259664943</v>
      </c>
      <c r="L66" s="3">
        <v>0.41910547620104155</v>
      </c>
      <c r="M66" s="3">
        <v>0.11007155901300811</v>
      </c>
      <c r="N66" s="54">
        <v>0.11039658653836351</v>
      </c>
    </row>
    <row r="67" spans="9:14" ht="15" thickBot="1" x14ac:dyDescent="0.35">
      <c r="I67" s="55">
        <v>2050</v>
      </c>
      <c r="J67" s="76">
        <v>3.6401644049719644E-3</v>
      </c>
      <c r="K67" s="76">
        <v>0.35786758151380654</v>
      </c>
      <c r="L67" s="76">
        <v>0.42102713619562759</v>
      </c>
      <c r="M67" s="76">
        <v>0.10876152400307899</v>
      </c>
      <c r="N67" s="77">
        <v>0.10870359388251484</v>
      </c>
    </row>
    <row r="68" spans="9:14" x14ac:dyDescent="0.3">
      <c r="I68" t="s">
        <v>40</v>
      </c>
      <c r="J68" s="44" t="s">
        <v>74</v>
      </c>
      <c r="K68" t="s">
        <v>61</v>
      </c>
    </row>
    <row r="69" spans="9:14" x14ac:dyDescent="0.3">
      <c r="I69" s="85" t="s">
        <v>83</v>
      </c>
    </row>
  </sheetData>
  <phoneticPr fontId="4" type="noConversion"/>
  <hyperlinks>
    <hyperlink ref="C10" r:id="rId1" location=":~:text=filled%20with%20gasoline-,The%20amount%20of%20carbon%20dioxide%20emitted%20per%20gallon%20of%20motor,tanker%20truck%20contains%208%2C500%20gallons." display="https://www.epa.gov/energy/greenhouse-gases-equivalencies-calculator-calculations-and-references#:~:text=filled%20with%20gasoline-,The%20amount%20of%20carbon%20dioxide%20emitted%20per%20gallon%20of%20motor,tanker%20truck%20contains%208%2C500%20gallons." xr:uid="{E84E8F66-2810-4BC2-88D8-A93B669C669B}"/>
    <hyperlink ref="C14" r:id="rId2" location=":~:text=Fuel%20economy%20decreased%20by%200.2,29%25%2C%20or%205.6%20mpg." display="https://www.epa.gov/automotive-trends/highlights-automotive-trends-report#:~:text=Fuel%20economy%20decreased%20by%200.2,29%25%2C%20or%205.6%20mpg." xr:uid="{3130CAAC-A979-4E8A-B115-DF4E060F5D0A}"/>
    <hyperlink ref="C15" r:id="rId3" display="https://www.reuters.com/article/us-autos-electric-norway/electric-cars-rise-to-record-54-market-share-in-norway-in-2020-idUKKBN29A0ZT?edition-redirect=in" xr:uid="{3C0D6D18-5F59-4BED-99A8-2E43D3097A3D}"/>
    <hyperlink ref="C17" r:id="rId4" display="https://about.bnef.com/electric-vehicle-outlook/. Accessed: 01/29/2021" xr:uid="{00A69905-F011-43AD-ACBE-2B7391BA4830}"/>
    <hyperlink ref="J3" r:id="rId5" xr:uid="{9CFDD7C7-0A5D-4D42-BB2F-E35E3986A69B}"/>
    <hyperlink ref="H3" r:id="rId6" xr:uid="{7AF8852B-00C1-444E-AA26-64D510CDBCD9}"/>
    <hyperlink ref="C18" r:id="rId7" xr:uid="{41E0476F-B4C7-407A-A1C7-32EAA38FF840}"/>
  </hyperlinks>
  <pageMargins left="0.7" right="0.7" top="0.75" bottom="0.75" header="0.3" footer="0.3"/>
  <pageSetup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2CB0C-5759-44B6-A71E-53AAC54186D5}">
  <dimension ref="A1:W105"/>
  <sheetViews>
    <sheetView topLeftCell="A16" zoomScale="70" zoomScaleNormal="70" workbookViewId="0">
      <selection activeCell="E38" sqref="E38"/>
    </sheetView>
  </sheetViews>
  <sheetFormatPr defaultRowHeight="14.4" x14ac:dyDescent="0.3"/>
  <cols>
    <col min="1" max="1" width="9.77734375" bestFit="1" customWidth="1"/>
    <col min="2" max="2" width="9.77734375" customWidth="1"/>
    <col min="4" max="5" width="18.44140625" customWidth="1"/>
    <col min="6" max="6" width="23" customWidth="1"/>
    <col min="7" max="9" width="13.44140625" customWidth="1"/>
    <col min="10" max="11" width="18.33203125" customWidth="1"/>
    <col min="12" max="12" width="16.6640625" bestFit="1" customWidth="1"/>
    <col min="13" max="13" width="16.6640625" customWidth="1"/>
    <col min="14" max="14" width="18.21875" bestFit="1" customWidth="1"/>
    <col min="15" max="16" width="18.21875" customWidth="1"/>
    <col min="17" max="18" width="21.77734375" customWidth="1"/>
    <col min="19" max="19" width="18.88671875" bestFit="1" customWidth="1"/>
    <col min="20" max="20" width="20.109375" bestFit="1" customWidth="1"/>
    <col min="21" max="21" width="20.77734375" bestFit="1" customWidth="1"/>
    <col min="22" max="22" width="17.44140625" bestFit="1" customWidth="1"/>
    <col min="23" max="23" width="15" bestFit="1" customWidth="1"/>
  </cols>
  <sheetData>
    <row r="1" spans="1:23" s="39" customFormat="1" ht="62.4" x14ac:dyDescent="0.3">
      <c r="A1" s="35" t="s">
        <v>0</v>
      </c>
      <c r="B1" s="35" t="s">
        <v>7</v>
      </c>
      <c r="C1" s="35" t="s">
        <v>1</v>
      </c>
      <c r="D1" s="35" t="s">
        <v>2</v>
      </c>
      <c r="E1" s="35" t="s">
        <v>94</v>
      </c>
      <c r="F1" s="35" t="s">
        <v>6</v>
      </c>
      <c r="G1" s="35" t="s">
        <v>26</v>
      </c>
      <c r="H1" s="35"/>
      <c r="I1" s="35" t="s">
        <v>91</v>
      </c>
      <c r="J1" s="35" t="s">
        <v>8</v>
      </c>
      <c r="K1" s="35" t="s">
        <v>102</v>
      </c>
      <c r="L1" s="35" t="s">
        <v>27</v>
      </c>
      <c r="M1" s="35" t="s">
        <v>13</v>
      </c>
      <c r="N1" s="35" t="s">
        <v>15</v>
      </c>
      <c r="O1" s="35" t="s">
        <v>14</v>
      </c>
      <c r="P1" s="36" t="s">
        <v>3</v>
      </c>
      <c r="Q1" s="36" t="s">
        <v>9</v>
      </c>
      <c r="R1" s="36" t="s">
        <v>125</v>
      </c>
      <c r="S1" s="36" t="s">
        <v>16</v>
      </c>
      <c r="T1" s="36" t="s">
        <v>10</v>
      </c>
      <c r="U1" s="36" t="s">
        <v>11</v>
      </c>
      <c r="V1" s="36" t="s">
        <v>17</v>
      </c>
      <c r="W1" s="36" t="s">
        <v>28</v>
      </c>
    </row>
    <row r="2" spans="1:23" s="39" customFormat="1" ht="15.6" x14ac:dyDescent="0.3">
      <c r="A2" s="35"/>
      <c r="B2" s="35"/>
      <c r="C2" s="35"/>
      <c r="D2" s="92">
        <f>Input_values!B3</f>
        <v>253814184</v>
      </c>
      <c r="E2" s="35"/>
      <c r="F2" s="35"/>
      <c r="G2" s="35"/>
      <c r="H2" s="35"/>
      <c r="I2" s="35"/>
      <c r="J2" s="35"/>
      <c r="K2" s="35"/>
      <c r="L2" s="35"/>
      <c r="M2" s="35"/>
      <c r="N2" s="35"/>
      <c r="O2" s="35"/>
      <c r="P2" s="36"/>
      <c r="Q2" s="36"/>
      <c r="R2" s="36"/>
      <c r="S2" s="36"/>
      <c r="T2" s="36"/>
      <c r="U2" s="36"/>
      <c r="V2" s="36"/>
      <c r="W2" s="36"/>
    </row>
    <row r="3" spans="1:23" x14ac:dyDescent="0.3">
      <c r="A3" s="2">
        <v>0</v>
      </c>
      <c r="B3" s="2">
        <v>0</v>
      </c>
      <c r="C3" s="1">
        <v>2020</v>
      </c>
      <c r="D3" s="7">
        <f>$D$2*(1+Input_values!$B$4)^(A3)</f>
        <v>253814184</v>
      </c>
      <c r="E3" s="3">
        <f>F3/G3</f>
        <v>2.1538066078555591E-2</v>
      </c>
      <c r="F3" s="33">
        <f>Input_values!$B$2</f>
        <v>328000</v>
      </c>
      <c r="G3" s="33">
        <f>D3*Input_values!$B$5*((1+Input_values!$B$6)^A3)</f>
        <v>15228851.039999999</v>
      </c>
      <c r="H3" s="112">
        <f>G3/D3</f>
        <v>0.06</v>
      </c>
      <c r="I3" s="33">
        <v>0</v>
      </c>
      <c r="J3" s="34">
        <f>Input_values!$B$12+F3</f>
        <v>1347260</v>
      </c>
      <c r="K3" s="34">
        <f t="shared" ref="K3:K33" si="0">IF(AND(E3&gt;J3, I3&gt;G3),E3,J3)</f>
        <v>1347260</v>
      </c>
      <c r="L3" s="25">
        <f>J3/D2</f>
        <v>5.3080563850600249E-3</v>
      </c>
      <c r="M3" s="7">
        <f t="shared" ref="M3:M33" si="1">(1-E3)*G3</f>
        <v>14900851.039999999</v>
      </c>
      <c r="N3" s="17">
        <f>1-L3</f>
        <v>0.99469194361493996</v>
      </c>
      <c r="O3" s="34">
        <f t="shared" ref="O3:O33" si="2">D3-J3</f>
        <v>252466924</v>
      </c>
      <c r="P3" s="7">
        <f>O3*(Input_values!$B$7*(1+Input_values!$B$8)^A3)/(Input_values!$B$13*(1+Input_values!$B$14)^A3)</f>
        <v>128696104504.56177</v>
      </c>
      <c r="Q3" s="7">
        <f>P3*Input_values!$B$10</f>
        <v>1143722280.7320406</v>
      </c>
      <c r="R3" s="17">
        <f>Input_values!L37+Input_values!N37</f>
        <v>0.39594273119481199</v>
      </c>
      <c r="S3" s="32">
        <f>J3*Input_values!$B$7</f>
        <v>15521038196.903921</v>
      </c>
      <c r="T3" s="7">
        <f>S3*Input_values!$B$11</f>
        <v>4501101077.1021366</v>
      </c>
      <c r="U3" s="7">
        <f>T3*(1-R3)</f>
        <v>2718922823.2504063</v>
      </c>
      <c r="V3" s="7" t="e">
        <f>U3*Input_values!#REF!*0.00045</f>
        <v>#REF!</v>
      </c>
      <c r="W3" s="7" t="e">
        <f>V3+Q3</f>
        <v>#REF!</v>
      </c>
    </row>
    <row r="4" spans="1:23" x14ac:dyDescent="0.3">
      <c r="A4" s="1">
        <v>1</v>
      </c>
      <c r="B4" s="2">
        <v>0</v>
      </c>
      <c r="C4" s="1">
        <f t="shared" ref="C4:C33" si="3">C3+1</f>
        <v>2021</v>
      </c>
      <c r="D4" s="7">
        <f>$D$2*(1+Input_values!$B$4)^(A4)</f>
        <v>255844697.472</v>
      </c>
      <c r="E4" s="3">
        <v>0.04</v>
      </c>
      <c r="F4" s="7">
        <f>E4*G4</f>
        <v>617097.41030246392</v>
      </c>
      <c r="G4" s="33">
        <f>D4*Input_values!$B$5*((1+Input_values!$B$6)^A4)</f>
        <v>15427435.257561598</v>
      </c>
      <c r="H4" s="112">
        <f t="shared" ref="H4:H33" si="4">G4/D4</f>
        <v>6.0299999999999992E-2</v>
      </c>
      <c r="I4" s="33">
        <v>0</v>
      </c>
      <c r="J4" s="34">
        <f t="shared" ref="J4:J33" si="5">IF(F4+J3-I4&gt;D4,D4,F4+J3-I4)</f>
        <v>1964357.4103024639</v>
      </c>
      <c r="K4" s="34">
        <f t="shared" si="0"/>
        <v>1964357.4103024639</v>
      </c>
      <c r="L4" s="25">
        <f t="shared" ref="L4:L33" si="6">J4/D4</f>
        <v>7.6779289534325643E-3</v>
      </c>
      <c r="M4" s="7">
        <f t="shared" si="1"/>
        <v>14810337.847259134</v>
      </c>
      <c r="N4" s="17">
        <f>1-L4</f>
        <v>0.99232207104656744</v>
      </c>
      <c r="O4" s="34">
        <f t="shared" si="2"/>
        <v>253880340.06169754</v>
      </c>
      <c r="P4" s="7">
        <f>O4*(Input_values!$B$7*(1+Input_values!$B$8)^A4)/(Input_values!$B$13*(1+Input_values!$B$14)^A4)</f>
        <v>128338555577.41554</v>
      </c>
      <c r="Q4" s="7">
        <f>P4*Input_values!$B$10</f>
        <v>1140544743.416492</v>
      </c>
      <c r="R4" s="17">
        <f>Input_values!L38+Input_values!N38</f>
        <v>0.45763454960782129</v>
      </c>
      <c r="S4" s="32">
        <f>J4*Input_values!$B$7</f>
        <v>22630276559.591919</v>
      </c>
      <c r="T4" s="7">
        <f>S4*Input_values!$B$11</f>
        <v>6562780202.2816563</v>
      </c>
      <c r="U4" s="7">
        <f t="shared" ref="U4:U33" si="7">T4*(1-R4)</f>
        <v>3559425240.235364</v>
      </c>
      <c r="V4" s="7" t="e">
        <f>U4*Input_values!#REF!*0.00045</f>
        <v>#REF!</v>
      </c>
      <c r="W4" s="7" t="e">
        <f t="shared" ref="W4:W33" si="8">V4+Q4</f>
        <v>#REF!</v>
      </c>
    </row>
    <row r="5" spans="1:23" x14ac:dyDescent="0.3">
      <c r="A5" s="1">
        <f t="shared" ref="A5:A33" si="9">A4+1</f>
        <v>2</v>
      </c>
      <c r="B5" s="2">
        <v>0</v>
      </c>
      <c r="C5" s="1">
        <f t="shared" si="3"/>
        <v>2022</v>
      </c>
      <c r="D5" s="7">
        <f>$D$2*(1+Input_values!$B$4)^(A5)</f>
        <v>257891455.05177602</v>
      </c>
      <c r="E5" s="3">
        <v>0.05</v>
      </c>
      <c r="F5" s="7">
        <f t="shared" ref="F5:F33" si="10">E5*G5</f>
        <v>781430.45066601003</v>
      </c>
      <c r="G5" s="33">
        <f>D5*Input_values!$B$5*((1+Input_values!$B$6)^A5)</f>
        <v>15628609.0133202</v>
      </c>
      <c r="H5" s="112">
        <f t="shared" si="4"/>
        <v>6.0601499999999982E-2</v>
      </c>
      <c r="I5" s="33">
        <v>0</v>
      </c>
      <c r="J5" s="34">
        <f t="shared" si="5"/>
        <v>2745787.8609684738</v>
      </c>
      <c r="K5" s="34">
        <f t="shared" si="0"/>
        <v>2745787.8609684738</v>
      </c>
      <c r="L5" s="25">
        <f t="shared" si="6"/>
        <v>1.0647068009357701E-2</v>
      </c>
      <c r="M5" s="7">
        <f t="shared" si="1"/>
        <v>14847178.56265419</v>
      </c>
      <c r="N5" s="17">
        <f t="shared" ref="N5:N33" si="11">1-L5</f>
        <v>0.98935293199064234</v>
      </c>
      <c r="O5" s="34">
        <f t="shared" si="2"/>
        <v>255145667.19080755</v>
      </c>
      <c r="P5" s="7">
        <f>O5*(Input_values!$B$7*(1+Input_values!$B$8)^A5)/(Input_values!$B$13*(1+Input_values!$B$14)^A5)</f>
        <v>127903796734.19525</v>
      </c>
      <c r="Q5" s="7">
        <f>P5*Input_values!$B$10</f>
        <v>1136681041.5767932</v>
      </c>
      <c r="R5" s="17">
        <f>Input_values!L39+Input_values!N39</f>
        <v>0.4736762396692461</v>
      </c>
      <c r="S5" s="32">
        <f>J5*Input_values!$B$7</f>
        <v>31632705098.263733</v>
      </c>
      <c r="T5" s="7">
        <f>S5*Input_values!$B$11</f>
        <v>9173484478.4964828</v>
      </c>
      <c r="U5" s="7">
        <f t="shared" si="7"/>
        <v>4828222846.058074</v>
      </c>
      <c r="V5" s="7" t="e">
        <f>U5*Input_values!#REF!*0.00045</f>
        <v>#REF!</v>
      </c>
      <c r="W5" s="7" t="e">
        <f t="shared" si="8"/>
        <v>#REF!</v>
      </c>
    </row>
    <row r="6" spans="1:23" x14ac:dyDescent="0.3">
      <c r="A6" s="1">
        <f t="shared" si="9"/>
        <v>3</v>
      </c>
      <c r="B6" s="2">
        <v>0</v>
      </c>
      <c r="C6" s="1">
        <f t="shared" si="3"/>
        <v>2023</v>
      </c>
      <c r="D6" s="7">
        <f>$D$2*(1+Input_values!$B$4)^(A6)</f>
        <v>259954586.69219026</v>
      </c>
      <c r="E6" s="3">
        <v>1</v>
      </c>
      <c r="F6" s="7">
        <f t="shared" si="10"/>
        <v>15832406.074853897</v>
      </c>
      <c r="G6" s="33">
        <f>D6*Input_values!$B$5*((1+Input_values!$B$6)^A6)</f>
        <v>15832406.074853897</v>
      </c>
      <c r="H6" s="112">
        <f t="shared" si="4"/>
        <v>6.0904507499999982E-2</v>
      </c>
      <c r="I6" s="33">
        <v>0</v>
      </c>
      <c r="J6" s="34">
        <f t="shared" si="5"/>
        <v>18578193.935822371</v>
      </c>
      <c r="K6" s="34">
        <f t="shared" si="0"/>
        <v>18578193.935822371</v>
      </c>
      <c r="L6" s="25">
        <f t="shared" si="6"/>
        <v>7.1467074969600877E-2</v>
      </c>
      <c r="M6" s="7">
        <f t="shared" si="1"/>
        <v>0</v>
      </c>
      <c r="N6" s="17">
        <f t="shared" si="11"/>
        <v>0.92853292503039908</v>
      </c>
      <c r="O6" s="34">
        <f t="shared" si="2"/>
        <v>241376392.75636789</v>
      </c>
      <c r="P6" s="7">
        <f>O6*(Input_values!$B$7*(1+Input_values!$B$8)^A6)/(Input_values!$B$13*(1+Input_values!$B$14)^A6)</f>
        <v>119993354474.51231</v>
      </c>
      <c r="Q6" s="7">
        <f>P6*Input_values!$B$10</f>
        <v>1066380941.214991</v>
      </c>
      <c r="R6" s="17">
        <f>Input_values!L40+Input_values!N40</f>
        <v>0.46268504053921089</v>
      </c>
      <c r="S6" s="32">
        <f>J6*Input_values!$B$7</f>
        <v>214029109234.5856</v>
      </c>
      <c r="T6" s="7">
        <f>S6*Input_values!$B$11</f>
        <v>62068441678.029823</v>
      </c>
      <c r="U6" s="7">
        <f t="shared" si="7"/>
        <v>33350302224.024948</v>
      </c>
      <c r="V6" s="7" t="e">
        <f>U6*Input_values!#REF!*0.00045</f>
        <v>#REF!</v>
      </c>
      <c r="W6" s="7" t="e">
        <f t="shared" si="8"/>
        <v>#REF!</v>
      </c>
    </row>
    <row r="7" spans="1:23" x14ac:dyDescent="0.3">
      <c r="A7" s="1">
        <f t="shared" si="9"/>
        <v>4</v>
      </c>
      <c r="B7" s="2">
        <v>0</v>
      </c>
      <c r="C7" s="1">
        <f t="shared" si="3"/>
        <v>2024</v>
      </c>
      <c r="D7" s="7">
        <f>$D$2*(1+Input_values!$B$4)^(A7)</f>
        <v>262034223.38572779</v>
      </c>
      <c r="E7" s="3">
        <v>1</v>
      </c>
      <c r="F7" s="7">
        <f t="shared" si="10"/>
        <v>16038860.650069986</v>
      </c>
      <c r="G7" s="33">
        <f>D7*Input_values!$B$5*((1+Input_values!$B$6)^A7)</f>
        <v>16038860.650069986</v>
      </c>
      <c r="H7" s="112">
        <f t="shared" si="4"/>
        <v>6.1209030037499952E-2</v>
      </c>
      <c r="I7" s="33">
        <v>0</v>
      </c>
      <c r="J7" s="34">
        <f t="shared" si="5"/>
        <v>34617054.585892357</v>
      </c>
      <c r="K7" s="34">
        <f t="shared" si="0"/>
        <v>34617054.585892357</v>
      </c>
      <c r="L7" s="25">
        <f t="shared" si="6"/>
        <v>0.13210890599940558</v>
      </c>
      <c r="M7" s="7">
        <f t="shared" si="1"/>
        <v>0</v>
      </c>
      <c r="N7" s="17">
        <f>1-L7</f>
        <v>0.86789109400059439</v>
      </c>
      <c r="O7" s="34">
        <f t="shared" si="2"/>
        <v>227417168.79983544</v>
      </c>
      <c r="P7" s="7">
        <f>O7*(Input_values!$B$7*(1+Input_values!$B$8)^A7)/(Input_values!$B$13*(1+Input_values!$B$14)^A7)</f>
        <v>112112184086.86639</v>
      </c>
      <c r="Q7" s="7">
        <f>P7*Input_values!$B$10</f>
        <v>996340979.97998178</v>
      </c>
      <c r="R7" s="17">
        <f>Input_values!L41+Input_values!N41</f>
        <v>0.47058157909899778</v>
      </c>
      <c r="S7" s="32">
        <f>J7*Input_values!$B$7</f>
        <v>398803962480.84503</v>
      </c>
      <c r="T7" s="7">
        <f>S7*Input_values!$B$11</f>
        <v>115653149119.44505</v>
      </c>
      <c r="U7" s="7">
        <f t="shared" si="7"/>
        <v>61228907579.044739</v>
      </c>
      <c r="V7" s="7" t="e">
        <f>U7*Input_values!#REF!*0.00045</f>
        <v>#REF!</v>
      </c>
      <c r="W7" s="7" t="e">
        <f t="shared" si="8"/>
        <v>#REF!</v>
      </c>
    </row>
    <row r="8" spans="1:23" x14ac:dyDescent="0.3">
      <c r="A8" s="1">
        <f t="shared" si="9"/>
        <v>5</v>
      </c>
      <c r="B8" s="2">
        <v>0</v>
      </c>
      <c r="C8" s="1">
        <f t="shared" si="3"/>
        <v>2025</v>
      </c>
      <c r="D8" s="7">
        <f>$D$2*(1+Input_values!$B$4)^(A8)</f>
        <v>264130497.17281359</v>
      </c>
      <c r="E8" s="3">
        <v>1</v>
      </c>
      <c r="F8" s="7">
        <f t="shared" si="10"/>
        <v>16248007.392946895</v>
      </c>
      <c r="G8" s="33">
        <f>D8*Input_values!$B$5*((1+Input_values!$B$6)^A8)</f>
        <v>16248007.392946895</v>
      </c>
      <c r="H8" s="112">
        <f t="shared" si="4"/>
        <v>6.1515075187687451E-2</v>
      </c>
      <c r="I8" s="33">
        <v>0</v>
      </c>
      <c r="J8" s="34">
        <f t="shared" si="5"/>
        <v>50865061.978839248</v>
      </c>
      <c r="K8" s="34">
        <f t="shared" si="0"/>
        <v>50865061.978839248</v>
      </c>
      <c r="L8" s="25">
        <f t="shared" si="6"/>
        <v>0.19257549780614536</v>
      </c>
      <c r="M8" s="7">
        <f t="shared" si="1"/>
        <v>0</v>
      </c>
      <c r="N8" s="17">
        <f t="shared" si="11"/>
        <v>0.80742450219385464</v>
      </c>
      <c r="O8" s="34">
        <f t="shared" si="2"/>
        <v>213265435.19397435</v>
      </c>
      <c r="P8" s="7">
        <f>O8*(Input_values!$B$7*(1+Input_values!$B$8)^A8)/(Input_values!$B$13*(1+Input_values!$B$14)^A8)</f>
        <v>104259875256.99326</v>
      </c>
      <c r="Q8" s="7">
        <f>P8*Input_values!$B$10</f>
        <v>926557511.40889919</v>
      </c>
      <c r="R8" s="17">
        <f>Input_values!L42+Input_values!N42</f>
        <v>0.46434375491984081</v>
      </c>
      <c r="S8" s="32">
        <f>J8*Input_values!$B$7</f>
        <v>585988279813.43567</v>
      </c>
      <c r="T8" s="7">
        <f>S8*Input_values!$B$11</f>
        <v>169936601145.89633</v>
      </c>
      <c r="U8" s="7">
        <f t="shared" si="7"/>
        <v>91027601671.495499</v>
      </c>
      <c r="V8" s="7" t="e">
        <f>U8*Input_values!#REF!*0.00045</f>
        <v>#REF!</v>
      </c>
      <c r="W8" s="7" t="e">
        <f t="shared" si="8"/>
        <v>#REF!</v>
      </c>
    </row>
    <row r="9" spans="1:23" x14ac:dyDescent="0.3">
      <c r="A9" s="1">
        <f t="shared" si="9"/>
        <v>6</v>
      </c>
      <c r="B9" s="2">
        <v>0</v>
      </c>
      <c r="C9" s="1">
        <f t="shared" si="3"/>
        <v>2026</v>
      </c>
      <c r="D9" s="7">
        <f>$D$2*(1+Input_values!$B$4)^(A9)</f>
        <v>266243541.15019611</v>
      </c>
      <c r="E9" s="3">
        <v>1</v>
      </c>
      <c r="F9" s="7">
        <f t="shared" si="10"/>
        <v>16459881.409350919</v>
      </c>
      <c r="G9" s="33">
        <f>D9*Input_values!$B$5*((1+Input_values!$B$6)^A9)</f>
        <v>16459881.409350919</v>
      </c>
      <c r="H9" s="112">
        <f t="shared" si="4"/>
        <v>6.1822650563625868E-2</v>
      </c>
      <c r="I9" s="33">
        <v>0</v>
      </c>
      <c r="J9" s="34">
        <f t="shared" si="5"/>
        <v>67324943.388190165</v>
      </c>
      <c r="K9" s="34">
        <f t="shared" si="0"/>
        <v>67324943.388190165</v>
      </c>
      <c r="L9" s="25">
        <f t="shared" si="6"/>
        <v>0.25286977140305578</v>
      </c>
      <c r="M9" s="7">
        <f t="shared" si="1"/>
        <v>0</v>
      </c>
      <c r="N9" s="17">
        <f t="shared" si="11"/>
        <v>0.74713022859694422</v>
      </c>
      <c r="O9" s="34">
        <f t="shared" si="2"/>
        <v>198918597.76200593</v>
      </c>
      <c r="P9" s="7">
        <f>O9*(Input_values!$B$7*(1+Input_values!$B$8)^A9)/(Input_values!$B$13*(1+Input_values!$B$14)^A9)</f>
        <v>96436020321.724579</v>
      </c>
      <c r="Q9" s="7">
        <f>P9*Input_values!$B$10</f>
        <v>857026912.59916639</v>
      </c>
      <c r="R9" s="17">
        <f>Input_values!L43+Input_values!N43</f>
        <v>0.47921578532239911</v>
      </c>
      <c r="S9" s="32">
        <f>J9*Input_values!$B$7</f>
        <v>775613480644.04321</v>
      </c>
      <c r="T9" s="7">
        <f>S9*Input_values!$B$11</f>
        <v>224927909386.77252</v>
      </c>
      <c r="U9" s="7">
        <f t="shared" si="7"/>
        <v>117138904649.06491</v>
      </c>
      <c r="V9" s="7" t="e">
        <f>U9*Input_values!#REF!*0.00045</f>
        <v>#REF!</v>
      </c>
      <c r="W9" s="7" t="e">
        <f t="shared" si="8"/>
        <v>#REF!</v>
      </c>
    </row>
    <row r="10" spans="1:23" x14ac:dyDescent="0.3">
      <c r="A10" s="1">
        <f t="shared" si="9"/>
        <v>7</v>
      </c>
      <c r="B10" s="2">
        <v>0</v>
      </c>
      <c r="C10" s="1">
        <f t="shared" si="3"/>
        <v>2027</v>
      </c>
      <c r="D10" s="7">
        <f>$D$2*(1+Input_values!$B$4)^(A10)</f>
        <v>268373489.47939771</v>
      </c>
      <c r="E10" s="3">
        <v>1</v>
      </c>
      <c r="F10" s="7">
        <f>E10*G10</f>
        <v>16674518.262928857</v>
      </c>
      <c r="G10" s="33">
        <f>D10*Input_values!$B$5*((1+Input_values!$B$6)^A10)</f>
        <v>16674518.262928857</v>
      </c>
      <c r="H10" s="112">
        <f t="shared" si="4"/>
        <v>6.2131763816443995E-2</v>
      </c>
      <c r="I10" s="33">
        <v>0</v>
      </c>
      <c r="J10" s="34">
        <f t="shared" si="5"/>
        <v>83999461.651119024</v>
      </c>
      <c r="K10" s="34">
        <f t="shared" si="0"/>
        <v>83999461.651119024</v>
      </c>
      <c r="L10" s="25">
        <f t="shared" si="6"/>
        <v>0.31299463227185648</v>
      </c>
      <c r="M10" s="7">
        <f t="shared" si="1"/>
        <v>0</v>
      </c>
      <c r="N10" s="17">
        <f t="shared" si="11"/>
        <v>0.68700536772814358</v>
      </c>
      <c r="O10" s="34">
        <f t="shared" si="2"/>
        <v>184374027.82827869</v>
      </c>
      <c r="P10" s="7">
        <f>O10*(Input_values!$B$7*(1+Input_values!$B$8)^A10)/(Input_values!$B$13*(1+Input_values!$B$14)^A10)</f>
        <v>88640214243.3759</v>
      </c>
      <c r="Q10" s="7">
        <f>P10*Input_values!$B$10</f>
        <v>787745583.98088169</v>
      </c>
      <c r="R10" s="17">
        <f>Input_values!L44+Input_values!N44</f>
        <v>0.48289683839647213</v>
      </c>
      <c r="S10" s="32">
        <f>J10*Input_values!$B$7</f>
        <v>967711394093.48193</v>
      </c>
      <c r="T10" s="7">
        <f>S10*Input_values!$B$11</f>
        <v>280636304287.10974</v>
      </c>
      <c r="U10" s="7">
        <f t="shared" si="7"/>
        <v>145117920207.59412</v>
      </c>
      <c r="V10" s="7" t="e">
        <f>U10*Input_values!#REF!*0.00045</f>
        <v>#REF!</v>
      </c>
      <c r="W10" s="7" t="e">
        <f t="shared" si="8"/>
        <v>#REF!</v>
      </c>
    </row>
    <row r="11" spans="1:23" x14ac:dyDescent="0.3">
      <c r="A11" s="1">
        <f t="shared" si="9"/>
        <v>8</v>
      </c>
      <c r="B11" s="2">
        <v>0</v>
      </c>
      <c r="C11" s="1">
        <f t="shared" si="3"/>
        <v>2028</v>
      </c>
      <c r="D11" s="7">
        <f>$D$2*(1+Input_values!$B$4)^(A11)</f>
        <v>270520477.39523292</v>
      </c>
      <c r="E11" s="3">
        <v>1</v>
      </c>
      <c r="F11" s="7">
        <f t="shared" si="10"/>
        <v>16891953.981077448</v>
      </c>
      <c r="G11" s="33">
        <f>D11*Input_values!$B$5*((1+Input_values!$B$6)^A11)</f>
        <v>16891953.981077448</v>
      </c>
      <c r="H11" s="112">
        <f t="shared" si="4"/>
        <v>6.2442422635526205E-2</v>
      </c>
      <c r="I11" s="33">
        <f>Input_values!B25</f>
        <v>17763</v>
      </c>
      <c r="J11" s="34">
        <f t="shared" si="5"/>
        <v>100873652.63219647</v>
      </c>
      <c r="K11" s="34">
        <f t="shared" si="0"/>
        <v>100873652.63219647</v>
      </c>
      <c r="L11" s="25">
        <f t="shared" si="6"/>
        <v>0.37288730821223243</v>
      </c>
      <c r="M11" s="7">
        <f t="shared" si="1"/>
        <v>0</v>
      </c>
      <c r="N11" s="17">
        <f t="shared" si="11"/>
        <v>0.62711269178776763</v>
      </c>
      <c r="O11" s="34">
        <f t="shared" si="2"/>
        <v>169646824.76303643</v>
      </c>
      <c r="P11" s="7">
        <f>O11*(Input_values!$B$7*(1+Input_values!$B$8)^A11)/(Input_values!$B$13*(1+Input_values!$B$14)^A11)</f>
        <v>80880523241.12149</v>
      </c>
      <c r="Q11" s="7">
        <f>P11*Input_values!$B$10</f>
        <v>718785210.04384673</v>
      </c>
      <c r="R11" s="17">
        <f>Input_values!L45+Input_values!N45</f>
        <v>0.48983874044010561</v>
      </c>
      <c r="S11" s="32">
        <f>J11*Input_values!$B$7</f>
        <v>1162109626624.0659</v>
      </c>
      <c r="T11" s="7">
        <f>S11*Input_values!$B$11</f>
        <v>337011791720.97906</v>
      </c>
      <c r="U11" s="7">
        <f t="shared" si="7"/>
        <v>171930360150.91144</v>
      </c>
      <c r="V11" s="7" t="e">
        <f>U11*Input_values!#REF!*0.00045</f>
        <v>#REF!</v>
      </c>
      <c r="W11" s="7" t="e">
        <f t="shared" si="8"/>
        <v>#REF!</v>
      </c>
    </row>
    <row r="12" spans="1:23" x14ac:dyDescent="0.3">
      <c r="A12" s="1">
        <f t="shared" si="9"/>
        <v>9</v>
      </c>
      <c r="B12" s="2">
        <v>0</v>
      </c>
      <c r="C12" s="1">
        <f t="shared" si="3"/>
        <v>2029</v>
      </c>
      <c r="D12" s="7">
        <f>$D$2*(1+Input_values!$B$4)^(A12)</f>
        <v>272684641.21439481</v>
      </c>
      <c r="E12" s="3">
        <v>1</v>
      </c>
      <c r="F12" s="7">
        <f t="shared" si="10"/>
        <v>17112225.060990699</v>
      </c>
      <c r="G12" s="33">
        <f>D12*Input_values!$B$5*((1+Input_values!$B$6)^A12)</f>
        <v>17112225.060990699</v>
      </c>
      <c r="H12" s="112">
        <f t="shared" si="4"/>
        <v>6.2754634748703839E-2</v>
      </c>
      <c r="I12" s="33">
        <f>Input_values!B26</f>
        <v>53171</v>
      </c>
      <c r="J12" s="34">
        <f t="shared" si="5"/>
        <v>117932706.69318718</v>
      </c>
      <c r="K12" s="34">
        <f t="shared" si="0"/>
        <v>117932706.69318718</v>
      </c>
      <c r="L12" s="25">
        <f t="shared" si="6"/>
        <v>0.43248752906645777</v>
      </c>
      <c r="M12" s="7">
        <f t="shared" si="1"/>
        <v>0</v>
      </c>
      <c r="N12" s="17">
        <f t="shared" si="11"/>
        <v>0.56751247093354218</v>
      </c>
      <c r="O12" s="34">
        <f t="shared" si="2"/>
        <v>154751934.52120763</v>
      </c>
      <c r="P12" s="7">
        <f>O12*(Input_values!$B$7*(1+Input_values!$B$8)^A12)/(Input_values!$B$13*(1+Input_values!$B$14)^A12)</f>
        <v>73164678143.553574</v>
      </c>
      <c r="Q12" s="7">
        <f>P12*Input_values!$B$10</f>
        <v>650214494.66176069</v>
      </c>
      <c r="R12" s="17">
        <f>Input_values!L46+Input_values!N46</f>
        <v>0.4969071354824206</v>
      </c>
      <c r="S12" s="32">
        <f>J12*Input_values!$B$7</f>
        <v>1358637564574.9336</v>
      </c>
      <c r="T12" s="7">
        <f>S12*Input_values!$B$11</f>
        <v>394004893726.73071</v>
      </c>
      <c r="U12" s="7">
        <f t="shared" si="7"/>
        <v>198221050618.92542</v>
      </c>
      <c r="V12" s="7" t="e">
        <f>U12*Input_values!#REF!*0.00045</f>
        <v>#REF!</v>
      </c>
      <c r="W12" s="7" t="e">
        <f t="shared" si="8"/>
        <v>#REF!</v>
      </c>
    </row>
    <row r="13" spans="1:23" s="21" customFormat="1" x14ac:dyDescent="0.3">
      <c r="A13" s="19">
        <f t="shared" si="9"/>
        <v>10</v>
      </c>
      <c r="B13" s="2">
        <v>0</v>
      </c>
      <c r="C13" s="19">
        <f t="shared" si="3"/>
        <v>2030</v>
      </c>
      <c r="D13" s="7">
        <f>$D$2*(1+Input_values!$B$4)^(A13)</f>
        <v>274866118.34410995</v>
      </c>
      <c r="E13" s="3">
        <v>1</v>
      </c>
      <c r="F13" s="7">
        <f t="shared" si="10"/>
        <v>17335368.475786015</v>
      </c>
      <c r="G13" s="33">
        <f>D13*Input_values!$B$5*((1+Input_values!$B$6)^A13)</f>
        <v>17335368.475786015</v>
      </c>
      <c r="H13" s="112">
        <f t="shared" si="4"/>
        <v>6.3068407922447348E-2</v>
      </c>
      <c r="I13" s="33">
        <f>Input_values!B27</f>
        <v>97102</v>
      </c>
      <c r="J13" s="34">
        <f t="shared" si="5"/>
        <v>135170973.16897321</v>
      </c>
      <c r="K13" s="34">
        <f t="shared" si="0"/>
        <v>135170973.16897321</v>
      </c>
      <c r="L13" s="26">
        <f t="shared" si="6"/>
        <v>0.49177022611331883</v>
      </c>
      <c r="M13" s="7">
        <f t="shared" si="1"/>
        <v>0</v>
      </c>
      <c r="N13" s="20">
        <f>1-L13</f>
        <v>0.50822977388668122</v>
      </c>
      <c r="O13" s="34">
        <f t="shared" si="2"/>
        <v>139695145.17513674</v>
      </c>
      <c r="P13" s="7">
        <f>O13*(Input_values!$B$7*(1+Input_values!$B$8)^A13)/(Input_values!$B$13*(1+Input_values!$B$14)^A13)</f>
        <v>65495861051.608124</v>
      </c>
      <c r="Q13" s="22">
        <f>P13*Input_values!$B$10</f>
        <v>582061717.16564143</v>
      </c>
      <c r="R13" s="17">
        <f>Input_values!L47+Input_values!N47</f>
        <v>0.50453428873385486</v>
      </c>
      <c r="S13" s="32">
        <f>J13*Input_values!$B$7</f>
        <v>1557230109754.8418</v>
      </c>
      <c r="T13" s="22">
        <f>S13*Input_values!$B$11</f>
        <v>451596731828.90411</v>
      </c>
      <c r="U13" s="22">
        <f t="shared" si="7"/>
        <v>223750695941.07458</v>
      </c>
      <c r="V13" s="7" t="e">
        <f>U13*Input_values!#REF!*0.00045</f>
        <v>#REF!</v>
      </c>
      <c r="W13" s="7" t="e">
        <f t="shared" si="8"/>
        <v>#REF!</v>
      </c>
    </row>
    <row r="14" spans="1:23" x14ac:dyDescent="0.3">
      <c r="A14" s="1">
        <f t="shared" si="9"/>
        <v>11</v>
      </c>
      <c r="B14" s="2">
        <v>0</v>
      </c>
      <c r="C14" s="1">
        <f t="shared" si="3"/>
        <v>2031</v>
      </c>
      <c r="D14" s="7">
        <f>$D$2*(1+Input_values!$B$4)^(A14)</f>
        <v>277065047.29086286</v>
      </c>
      <c r="E14" s="3">
        <v>1</v>
      </c>
      <c r="F14" s="7">
        <f t="shared" si="10"/>
        <v>17561421.680710264</v>
      </c>
      <c r="G14" s="33">
        <f>D14*Input_values!$B$5*((1+Input_values!$B$6)^A14)</f>
        <v>17561421.680710264</v>
      </c>
      <c r="H14" s="112">
        <f t="shared" si="4"/>
        <v>6.3383749962059574E-2</v>
      </c>
      <c r="I14" s="33">
        <f>Input_values!B28</f>
        <v>118882</v>
      </c>
      <c r="J14" s="34">
        <f t="shared" si="5"/>
        <v>152613512.84968346</v>
      </c>
      <c r="K14" s="34">
        <f t="shared" si="0"/>
        <v>152613512.84968346</v>
      </c>
      <c r="L14" s="25">
        <f t="shared" si="6"/>
        <v>0.55082196163657482</v>
      </c>
      <c r="M14" s="7">
        <f t="shared" si="1"/>
        <v>0</v>
      </c>
      <c r="N14" s="17">
        <f t="shared" si="11"/>
        <v>0.44917803836342518</v>
      </c>
      <c r="O14" s="34">
        <f t="shared" si="2"/>
        <v>124451534.44117939</v>
      </c>
      <c r="P14" s="7">
        <f>O14*(Input_values!$B$7*(1+Input_values!$B$8)^A14)/(Input_values!$B$13*(1+Input_values!$B$14)^A14)</f>
        <v>57862868732.930298</v>
      </c>
      <c r="Q14" s="7">
        <f>P14*Input_values!$B$10</f>
        <v>514227314.4295516</v>
      </c>
      <c r="R14" s="17">
        <f>Input_values!L48+Input_values!N48</f>
        <v>0.50568832355593707</v>
      </c>
      <c r="S14" s="32">
        <f>J14*Input_values!$B$7</f>
        <v>1758175973682.6035</v>
      </c>
      <c r="T14" s="7">
        <f>S14*Input_values!$B$11</f>
        <v>509871032367.95496</v>
      </c>
      <c r="U14" s="7">
        <f t="shared" si="7"/>
        <v>252035204780.06888</v>
      </c>
      <c r="V14" s="7" t="e">
        <f>U14*Input_values!#REF!*0.00045</f>
        <v>#REF!</v>
      </c>
      <c r="W14" s="7" t="e">
        <f t="shared" si="8"/>
        <v>#REF!</v>
      </c>
    </row>
    <row r="15" spans="1:23" x14ac:dyDescent="0.3">
      <c r="A15" s="1">
        <f t="shared" si="9"/>
        <v>12</v>
      </c>
      <c r="B15" s="2">
        <v>0</v>
      </c>
      <c r="C15" s="1">
        <f t="shared" si="3"/>
        <v>2032</v>
      </c>
      <c r="D15" s="7">
        <f>$D$2*(1+Input_values!$B$4)^(A15)</f>
        <v>279281567.66918975</v>
      </c>
      <c r="E15" s="3">
        <v>1</v>
      </c>
      <c r="F15" s="7">
        <f t="shared" si="10"/>
        <v>17790422.61942672</v>
      </c>
      <c r="G15" s="33">
        <f>D15*Input_values!$B$5*((1+Input_values!$B$6)^A15)</f>
        <v>17790422.61942672</v>
      </c>
      <c r="H15" s="112">
        <f t="shared" si="4"/>
        <v>6.3700668711869857E-2</v>
      </c>
      <c r="I15" s="33">
        <f>Input_values!B29</f>
        <v>114023</v>
      </c>
      <c r="J15" s="34">
        <f t="shared" si="5"/>
        <v>170289912.46911019</v>
      </c>
      <c r="K15" s="34">
        <f t="shared" si="0"/>
        <v>170289912.46911019</v>
      </c>
      <c r="L15" s="25">
        <f t="shared" si="6"/>
        <v>0.60974275492043695</v>
      </c>
      <c r="M15" s="7">
        <f t="shared" si="1"/>
        <v>0</v>
      </c>
      <c r="N15" s="17">
        <f t="shared" si="11"/>
        <v>0.39025724507956305</v>
      </c>
      <c r="O15" s="34">
        <f t="shared" si="2"/>
        <v>108991655.20007956</v>
      </c>
      <c r="P15" s="7">
        <f>O15*(Input_values!$B$7*(1+Input_values!$B$8)^A15)/(Input_values!$B$13*(1+Input_values!$B$14)^A15)</f>
        <v>50252782852.756203</v>
      </c>
      <c r="Q15" s="7">
        <f>P15*Input_values!$B$10</f>
        <v>446596481.21244442</v>
      </c>
      <c r="R15" s="17">
        <f>Input_values!L49+Input_values!N49</f>
        <v>0.50747174284039853</v>
      </c>
      <c r="S15" s="32">
        <f>J15*Input_values!$B$7</f>
        <v>1961816008773.7219</v>
      </c>
      <c r="T15" s="7">
        <f>S15*Input_values!$B$11</f>
        <v>568926642544.37927</v>
      </c>
      <c r="U15" s="7">
        <f t="shared" si="7"/>
        <v>280212447704.04669</v>
      </c>
      <c r="V15" s="7" t="e">
        <f>U15*Input_values!#REF!*0.00045</f>
        <v>#REF!</v>
      </c>
      <c r="W15" s="7" t="e">
        <f t="shared" si="8"/>
        <v>#REF!</v>
      </c>
    </row>
    <row r="16" spans="1:23" x14ac:dyDescent="0.3">
      <c r="A16" s="1">
        <f t="shared" si="9"/>
        <v>13</v>
      </c>
      <c r="B16" s="2">
        <v>0</v>
      </c>
      <c r="C16" s="1">
        <f t="shared" si="3"/>
        <v>2033</v>
      </c>
      <c r="D16" s="7">
        <f>$D$2*(1+Input_values!$B$4)^(A16)</f>
        <v>281515820.21054322</v>
      </c>
      <c r="E16" s="3">
        <v>1</v>
      </c>
      <c r="F16" s="7">
        <f t="shared" si="10"/>
        <v>18022409.730384041</v>
      </c>
      <c r="G16" s="33">
        <f>D16*Input_values!$B$5*((1+Input_values!$B$6)^A16)</f>
        <v>18022409.730384041</v>
      </c>
      <c r="H16" s="112">
        <f t="shared" si="4"/>
        <v>6.4019172055429202E-2</v>
      </c>
      <c r="I16" s="33">
        <f>Input_values!B30</f>
        <v>159616</v>
      </c>
      <c r="J16" s="34">
        <f t="shared" si="5"/>
        <v>188152706.19949424</v>
      </c>
      <c r="K16" s="34">
        <f t="shared" si="0"/>
        <v>188152706.19949424</v>
      </c>
      <c r="L16" s="25">
        <f t="shared" si="6"/>
        <v>0.66835571108855085</v>
      </c>
      <c r="M16" s="7">
        <f t="shared" si="1"/>
        <v>0</v>
      </c>
      <c r="N16" s="17">
        <f t="shared" si="11"/>
        <v>0.33164428891144915</v>
      </c>
      <c r="O16" s="34">
        <f t="shared" si="2"/>
        <v>93363114.011048973</v>
      </c>
      <c r="P16" s="7">
        <f>O16*(Input_values!$B$7*(1+Input_values!$B$8)^A16)/(Input_values!$B$13*(1+Input_values!$B$14)^A16)</f>
        <v>42688349177.763138</v>
      </c>
      <c r="Q16" s="7">
        <f>P16*Input_values!$B$10</f>
        <v>379371359.14278102</v>
      </c>
      <c r="R16" s="17">
        <f>Input_values!L50+Input_values!N50</f>
        <v>0.51176480957801385</v>
      </c>
      <c r="S16" s="32">
        <f>J16*Input_values!$B$7</f>
        <v>2167603387447.999</v>
      </c>
      <c r="T16" s="7">
        <f>S16*Input_values!$B$11</f>
        <v>628604982359.91968</v>
      </c>
      <c r="U16" s="7">
        <f t="shared" si="7"/>
        <v>306907073262.70465</v>
      </c>
      <c r="V16" s="7" t="e">
        <f>U16*Input_values!#REF!*0.00045</f>
        <v>#REF!</v>
      </c>
      <c r="W16" s="7" t="e">
        <f t="shared" si="8"/>
        <v>#REF!</v>
      </c>
    </row>
    <row r="17" spans="1:23" x14ac:dyDescent="0.3">
      <c r="A17" s="1">
        <f t="shared" si="9"/>
        <v>14</v>
      </c>
      <c r="B17" s="2">
        <v>0</v>
      </c>
      <c r="C17" s="1">
        <f t="shared" si="3"/>
        <v>2034</v>
      </c>
      <c r="D17" s="7">
        <f>$D$2*(1+Input_values!$B$4)^(A17)</f>
        <v>283767946.77222764</v>
      </c>
      <c r="E17" s="3">
        <v>1</v>
      </c>
      <c r="F17" s="7">
        <f t="shared" si="10"/>
        <v>18257421.953268249</v>
      </c>
      <c r="G17" s="33">
        <f>D17*Input_values!$B$5*((1+Input_values!$B$6)^A17)</f>
        <v>18257421.953268249</v>
      </c>
      <c r="H17" s="112">
        <f t="shared" si="4"/>
        <v>6.4339267915706336E-2</v>
      </c>
      <c r="I17" s="33">
        <f>Input_values!B31</f>
        <v>195581</v>
      </c>
      <c r="J17" s="34">
        <f t="shared" si="5"/>
        <v>206214547.1527625</v>
      </c>
      <c r="K17" s="34">
        <f t="shared" si="0"/>
        <v>206214547.1527625</v>
      </c>
      <c r="L17" s="25">
        <f t="shared" si="6"/>
        <v>0.72670133994479991</v>
      </c>
      <c r="M17" s="7">
        <f t="shared" si="1"/>
        <v>0</v>
      </c>
      <c r="N17" s="17">
        <f t="shared" si="11"/>
        <v>0.27329866005520009</v>
      </c>
      <c r="O17" s="34">
        <f t="shared" si="2"/>
        <v>77553399.619465142</v>
      </c>
      <c r="P17" s="7">
        <f>O17*(Input_values!$B$7*(1+Input_values!$B$8)^A17)/(Input_values!$B$13*(1+Input_values!$B$14)^A17)</f>
        <v>35164304727.051567</v>
      </c>
      <c r="Q17" s="7">
        <f>P17*Input_values!$B$10</f>
        <v>312505176.10930729</v>
      </c>
      <c r="R17" s="17">
        <f>Input_values!L51+Input_values!N51</f>
        <v>0.51740989906551482</v>
      </c>
      <c r="S17" s="32">
        <f>J17*Input_values!$B$7</f>
        <v>2375683879218.0215</v>
      </c>
      <c r="T17" s="7">
        <f>S17*Input_values!$B$11</f>
        <v>688948324973.2262</v>
      </c>
      <c r="U17" s="7">
        <f t="shared" si="7"/>
        <v>332479641687.47375</v>
      </c>
      <c r="V17" s="7" t="e">
        <f>U17*Input_values!#REF!*0.00045</f>
        <v>#REF!</v>
      </c>
      <c r="W17" s="7" t="e">
        <f t="shared" si="8"/>
        <v>#REF!</v>
      </c>
    </row>
    <row r="18" spans="1:23" x14ac:dyDescent="0.3">
      <c r="A18" s="1">
        <f t="shared" si="9"/>
        <v>15</v>
      </c>
      <c r="B18" s="2">
        <v>0</v>
      </c>
      <c r="C18" s="1">
        <f t="shared" si="3"/>
        <v>2035</v>
      </c>
      <c r="D18" s="7">
        <f>$D$2*(1+Input_values!$B$4)^(A18)</f>
        <v>286038090.34640545</v>
      </c>
      <c r="E18" s="3">
        <v>1</v>
      </c>
      <c r="F18" s="7">
        <f t="shared" si="10"/>
        <v>18495498.735538859</v>
      </c>
      <c r="G18" s="33">
        <f>D18*Input_values!$B$5*((1+Input_values!$B$6)^A18)</f>
        <v>18495498.735538859</v>
      </c>
      <c r="H18" s="112">
        <f t="shared" si="4"/>
        <v>6.4660964255284836E-2</v>
      </c>
      <c r="I18" s="33">
        <f>Input_values!B32</f>
        <v>361315</v>
      </c>
      <c r="J18" s="34">
        <f t="shared" si="5"/>
        <v>224348730.88830137</v>
      </c>
      <c r="K18" s="34">
        <f t="shared" si="0"/>
        <v>224348730.88830137</v>
      </c>
      <c r="L18" s="25">
        <f t="shared" si="6"/>
        <v>0.78433166232023366</v>
      </c>
      <c r="M18" s="7">
        <f t="shared" si="1"/>
        <v>0</v>
      </c>
      <c r="N18" s="17">
        <f t="shared" si="11"/>
        <v>0.21566833767976634</v>
      </c>
      <c r="O18" s="34">
        <f t="shared" si="2"/>
        <v>61689359.458104074</v>
      </c>
      <c r="P18" s="7">
        <f>O18*(Input_values!$B$7*(1+Input_values!$B$8)^A18)/(Input_values!$B$13*(1+Input_values!$B$14)^A18)</f>
        <v>27738221925.986141</v>
      </c>
      <c r="Q18" s="7">
        <f>P18*Input_values!$B$10</f>
        <v>246509578.25623885</v>
      </c>
      <c r="R18" s="17">
        <f>Input_values!L52+Input_values!N52</f>
        <v>0.52315618055416779</v>
      </c>
      <c r="S18" s="32">
        <f>J18*Input_values!$B$7</f>
        <v>2584597792218.4614</v>
      </c>
      <c r="T18" s="7">
        <f>S18*Input_values!$B$11</f>
        <v>749533359743.35376</v>
      </c>
      <c r="U18" s="7">
        <f t="shared" si="7"/>
        <v>357410350062.08777</v>
      </c>
      <c r="V18" s="7" t="e">
        <f>U18*Input_values!#REF!*0.00045</f>
        <v>#REF!</v>
      </c>
      <c r="W18" s="7" t="e">
        <f t="shared" si="8"/>
        <v>#REF!</v>
      </c>
    </row>
    <row r="19" spans="1:23" x14ac:dyDescent="0.3">
      <c r="A19" s="1">
        <f t="shared" si="9"/>
        <v>16</v>
      </c>
      <c r="B19" s="2">
        <v>0</v>
      </c>
      <c r="C19" s="1">
        <f t="shared" si="3"/>
        <v>2036</v>
      </c>
      <c r="D19" s="7">
        <f>$D$2*(1+Input_values!$B$4)^(A19)</f>
        <v>288326395.06917673</v>
      </c>
      <c r="E19" s="3">
        <v>1</v>
      </c>
      <c r="F19" s="7">
        <f t="shared" si="10"/>
        <v>18736680.039050288</v>
      </c>
      <c r="G19" s="33">
        <f>D19*Input_values!$B$5*((1+Input_values!$B$6)^A19)</f>
        <v>18736680.039050288</v>
      </c>
      <c r="H19" s="112">
        <f t="shared" si="4"/>
        <v>6.4984269076561268E-2</v>
      </c>
      <c r="I19" s="33">
        <f>Input_values!B33</f>
        <v>326644</v>
      </c>
      <c r="J19" s="34">
        <f t="shared" si="5"/>
        <v>242758766.92735165</v>
      </c>
      <c r="K19" s="34">
        <f t="shared" si="0"/>
        <v>242758766.92735165</v>
      </c>
      <c r="L19" s="25">
        <f t="shared" si="6"/>
        <v>0.8419581803084929</v>
      </c>
      <c r="M19" s="7">
        <f t="shared" si="1"/>
        <v>0</v>
      </c>
      <c r="N19" s="17">
        <f t="shared" si="11"/>
        <v>0.1580418196915071</v>
      </c>
      <c r="O19" s="34">
        <f t="shared" si="2"/>
        <v>45567628.14182508</v>
      </c>
      <c r="P19" s="7">
        <f>O19*(Input_values!$B$7*(1+Input_values!$B$8)^A19)/(Input_values!$B$13*(1+Input_values!$B$14)^A19)</f>
        <v>20318514078.484226</v>
      </c>
      <c r="Q19" s="7">
        <f>P19*Input_values!$B$10</f>
        <v>180570634.61548933</v>
      </c>
      <c r="R19" s="17">
        <f>Input_values!L53+Input_values!N53</f>
        <v>0.52673018138622829</v>
      </c>
      <c r="S19" s="32">
        <f>J19*Input_values!$B$7</f>
        <v>2796689647219.335</v>
      </c>
      <c r="T19" s="7">
        <f>S19*Input_values!$B$11</f>
        <v>811039997693.60706</v>
      </c>
      <c r="U19" s="7">
        <f t="shared" si="7"/>
        <v>383840752596.96722</v>
      </c>
      <c r="V19" s="7" t="e">
        <f>U19*Input_values!#REF!*0.00045</f>
        <v>#REF!</v>
      </c>
      <c r="W19" s="7" t="e">
        <f t="shared" si="8"/>
        <v>#REF!</v>
      </c>
    </row>
    <row r="20" spans="1:23" x14ac:dyDescent="0.3">
      <c r="A20" s="1">
        <f t="shared" si="9"/>
        <v>17</v>
      </c>
      <c r="B20" s="2">
        <v>0</v>
      </c>
      <c r="C20" s="1">
        <f t="shared" si="3"/>
        <v>2037</v>
      </c>
      <c r="D20" s="7">
        <f>$D$2*(1+Input_values!$B$4)^(A20)</f>
        <v>290633006.22973013</v>
      </c>
      <c r="E20" s="3">
        <v>1</v>
      </c>
      <c r="F20" s="7">
        <f>E20*G20</f>
        <v>18981006.346759506</v>
      </c>
      <c r="G20" s="33">
        <f>D20*Input_values!$B$5*((1+Input_values!$B$6)^A20)</f>
        <v>18981006.346759506</v>
      </c>
      <c r="H20" s="112">
        <f t="shared" si="4"/>
        <v>6.530919042194408E-2</v>
      </c>
      <c r="I20" s="33">
        <f>F3</f>
        <v>328000</v>
      </c>
      <c r="J20" s="34">
        <f t="shared" si="5"/>
        <v>261411773.27411115</v>
      </c>
      <c r="K20" s="34">
        <f t="shared" si="0"/>
        <v>261411773.27411115</v>
      </c>
      <c r="L20" s="25">
        <f t="shared" si="6"/>
        <v>0.8994565918899069</v>
      </c>
      <c r="M20" s="7">
        <f t="shared" si="1"/>
        <v>0</v>
      </c>
      <c r="N20" s="17">
        <f t="shared" si="11"/>
        <v>0.1005434081100931</v>
      </c>
      <c r="O20" s="34">
        <f t="shared" si="2"/>
        <v>29221232.955618978</v>
      </c>
      <c r="P20" s="7">
        <f>O20*(Input_values!$B$7*(1+Input_values!$B$8)^A20)/(Input_values!$B$13*(1+Input_values!$B$14)^A20)</f>
        <v>12921151547.416569</v>
      </c>
      <c r="Q20" s="7">
        <f>P20*Input_values!$B$10</f>
        <v>114830273.80189106</v>
      </c>
      <c r="R20" s="17">
        <f>Input_values!L54+Input_values!N54</f>
        <v>0.52637982951186624</v>
      </c>
      <c r="S20" s="32">
        <f>J20*Input_values!$B$7</f>
        <v>3011580628911.915</v>
      </c>
      <c r="T20" s="7">
        <f>S20*Input_values!$B$11</f>
        <v>873358382384.45532</v>
      </c>
      <c r="U20" s="7">
        <f t="shared" si="7"/>
        <v>413640145962.16644</v>
      </c>
      <c r="V20" s="7" t="e">
        <f>U20*Input_values!#REF!*0.00045</f>
        <v>#REF!</v>
      </c>
      <c r="W20" s="7" t="e">
        <f t="shared" si="8"/>
        <v>#REF!</v>
      </c>
    </row>
    <row r="21" spans="1:23" x14ac:dyDescent="0.3">
      <c r="A21" s="1">
        <f t="shared" si="9"/>
        <v>18</v>
      </c>
      <c r="B21" s="2">
        <v>0</v>
      </c>
      <c r="C21" s="1">
        <f t="shared" si="3"/>
        <v>2038</v>
      </c>
      <c r="D21" s="7">
        <f>$D$2*(1+Input_values!$B$4)^(A21)</f>
        <v>292958070.27956802</v>
      </c>
      <c r="E21" s="3">
        <v>1</v>
      </c>
      <c r="F21" s="7">
        <f>E21*G21</f>
        <v>19228518.669521242</v>
      </c>
      <c r="G21" s="33">
        <f>D21*Input_values!$B$5*((1+Input_values!$B$6)^A21)</f>
        <v>19228518.669521242</v>
      </c>
      <c r="H21" s="112">
        <f t="shared" si="4"/>
        <v>6.5635736374053774E-2</v>
      </c>
      <c r="I21" s="33">
        <f t="shared" ref="I21:I33" si="12">F4</f>
        <v>617097.41030246392</v>
      </c>
      <c r="J21" s="34">
        <f t="shared" si="5"/>
        <v>280023194.5333299</v>
      </c>
      <c r="K21" s="34">
        <f t="shared" si="0"/>
        <v>280023194.5333299</v>
      </c>
      <c r="L21" s="25">
        <f t="shared" si="6"/>
        <v>0.95584734793653425</v>
      </c>
      <c r="M21" s="7">
        <f t="shared" si="1"/>
        <v>0</v>
      </c>
      <c r="N21" s="17">
        <f t="shared" si="11"/>
        <v>4.4152652063465747E-2</v>
      </c>
      <c r="O21" s="34">
        <f t="shared" si="2"/>
        <v>12934875.746238112</v>
      </c>
      <c r="P21" s="7">
        <f>O21*(Input_values!$B$7*(1+Input_values!$B$8)^A21)/(Input_values!$B$13*(1+Input_values!$B$14)^A21)</f>
        <v>5671946266.1066256</v>
      </c>
      <c r="Q21" s="7">
        <f>P21*Input_values!$B$10</f>
        <v>50406586.466889583</v>
      </c>
      <c r="R21" s="17">
        <f>Input_values!L55+Input_values!N55</f>
        <v>0.52426260935727664</v>
      </c>
      <c r="S21" s="32">
        <f>J21*Input_values!$B$7</f>
        <v>3225992531783.6724</v>
      </c>
      <c r="T21" s="7">
        <f>S21*Input_values!$B$11</f>
        <v>935537834217.26489</v>
      </c>
      <c r="U21" s="7">
        <f t="shared" si="7"/>
        <v>445070328098.06628</v>
      </c>
      <c r="V21" s="7" t="e">
        <f>U21*Input_values!#REF!*0.00045</f>
        <v>#REF!</v>
      </c>
      <c r="W21" s="7" t="e">
        <f t="shared" si="8"/>
        <v>#REF!</v>
      </c>
    </row>
    <row r="22" spans="1:23" x14ac:dyDescent="0.3">
      <c r="A22" s="1">
        <f t="shared" si="9"/>
        <v>19</v>
      </c>
      <c r="B22" s="2">
        <v>0</v>
      </c>
      <c r="C22" s="1">
        <f t="shared" si="3"/>
        <v>2039</v>
      </c>
      <c r="D22" s="7">
        <f>$D$2*(1+Input_values!$B$4)^(A22)</f>
        <v>295301734.84180456</v>
      </c>
      <c r="E22" s="3">
        <v>1</v>
      </c>
      <c r="F22" s="7">
        <f>E22*G22</f>
        <v>19479258.552971799</v>
      </c>
      <c r="G22" s="33">
        <f>D22*Input_values!$B$5*((1+Input_values!$B$6)^A22)</f>
        <v>19479258.552971799</v>
      </c>
      <c r="H22" s="112">
        <f t="shared" si="4"/>
        <v>6.5963915055924027E-2</v>
      </c>
      <c r="I22" s="33">
        <f t="shared" si="12"/>
        <v>781430.45066601003</v>
      </c>
      <c r="J22" s="34">
        <f t="shared" si="5"/>
        <v>295301734.84180456</v>
      </c>
      <c r="K22" s="34">
        <f t="shared" si="0"/>
        <v>295301734.84180456</v>
      </c>
      <c r="L22" s="25">
        <f t="shared" si="6"/>
        <v>1</v>
      </c>
      <c r="M22" s="7">
        <f t="shared" si="1"/>
        <v>0</v>
      </c>
      <c r="N22" s="17">
        <f t="shared" si="11"/>
        <v>0</v>
      </c>
      <c r="O22" s="34">
        <f t="shared" si="2"/>
        <v>0</v>
      </c>
      <c r="P22" s="7">
        <f>O22*(Input_values!$B$7*(1+Input_values!$B$8)^A22)/(Input_values!$B$13*(1+Input_values!$B$14)^A22)</f>
        <v>0</v>
      </c>
      <c r="Q22" s="7">
        <f>P22*Input_values!$B$10</f>
        <v>0</v>
      </c>
      <c r="R22" s="17">
        <f>Input_values!L56+Input_values!N56</f>
        <v>0.52304249188586138</v>
      </c>
      <c r="S22" s="32">
        <f>J22*Input_values!$B$7</f>
        <v>3402008154396.0645</v>
      </c>
      <c r="T22" s="7">
        <f>S22*Input_values!$B$11</f>
        <v>986582364774.85864</v>
      </c>
      <c r="U22" s="7">
        <f t="shared" si="7"/>
        <v>470557866252.37073</v>
      </c>
      <c r="V22" s="7" t="e">
        <f>U22*Input_values!#REF!*0.00045</f>
        <v>#REF!</v>
      </c>
      <c r="W22" s="7" t="e">
        <f t="shared" si="8"/>
        <v>#REF!</v>
      </c>
    </row>
    <row r="23" spans="1:23" x14ac:dyDescent="0.3">
      <c r="A23" s="1">
        <f t="shared" si="9"/>
        <v>20</v>
      </c>
      <c r="B23" s="2">
        <v>0</v>
      </c>
      <c r="C23" s="1">
        <f t="shared" si="3"/>
        <v>2040</v>
      </c>
      <c r="D23" s="7">
        <f>$D$2*(1+Input_values!$B$4)^(A23)</f>
        <v>297664148.72053903</v>
      </c>
      <c r="E23" s="3">
        <v>1</v>
      </c>
      <c r="F23" s="7">
        <f>E23*G23</f>
        <v>19733268.084502552</v>
      </c>
      <c r="G23" s="33">
        <f>D23*Input_values!$B$5*((1+Input_values!$B$6)^A23)</f>
        <v>19733268.084502552</v>
      </c>
      <c r="H23" s="112">
        <f t="shared" si="4"/>
        <v>6.6293734631203652E-2</v>
      </c>
      <c r="I23" s="33">
        <f t="shared" si="12"/>
        <v>15832406.074853897</v>
      </c>
      <c r="J23" s="34">
        <f t="shared" si="5"/>
        <v>297664148.72053903</v>
      </c>
      <c r="K23" s="34">
        <f t="shared" si="0"/>
        <v>297664148.72053903</v>
      </c>
      <c r="L23" s="25">
        <f t="shared" si="6"/>
        <v>1</v>
      </c>
      <c r="M23" s="7">
        <f t="shared" si="1"/>
        <v>0</v>
      </c>
      <c r="N23" s="17">
        <f t="shared" si="11"/>
        <v>0</v>
      </c>
      <c r="O23" s="34">
        <f t="shared" si="2"/>
        <v>0</v>
      </c>
      <c r="P23" s="7">
        <f>O23*(Input_values!$B$7*(1+Input_values!$B$8)^A23)/(Input_values!$B$13*(1+Input_values!$B$14)^A23)</f>
        <v>0</v>
      </c>
      <c r="Q23" s="7">
        <f>P23*Input_values!$B$10</f>
        <v>0</v>
      </c>
      <c r="R23" s="17">
        <f>Input_values!L57+Input_values!N57</f>
        <v>0.52283963702227865</v>
      </c>
      <c r="S23" s="32">
        <f>J23*Input_values!$B$7</f>
        <v>3429224219631.2334</v>
      </c>
      <c r="T23" s="7">
        <f>S23*Input_values!$B$11</f>
        <v>994475023693.05762</v>
      </c>
      <c r="U23" s="7">
        <f t="shared" si="7"/>
        <v>474524063277.65741</v>
      </c>
      <c r="V23" s="7" t="e">
        <f>U23*Input_values!#REF!*0.00045</f>
        <v>#REF!</v>
      </c>
      <c r="W23" s="7" t="e">
        <f t="shared" si="8"/>
        <v>#REF!</v>
      </c>
    </row>
    <row r="24" spans="1:23" x14ac:dyDescent="0.3">
      <c r="A24" s="1">
        <f t="shared" si="9"/>
        <v>21</v>
      </c>
      <c r="B24" s="2">
        <v>0</v>
      </c>
      <c r="C24" s="1">
        <f t="shared" si="3"/>
        <v>2041</v>
      </c>
      <c r="D24" s="7">
        <f>$D$2*(1+Input_values!$B$4)^(A24)</f>
        <v>300045461.91030335</v>
      </c>
      <c r="E24" s="3">
        <v>1</v>
      </c>
      <c r="F24" s="7">
        <f t="shared" si="10"/>
        <v>19990589.90032446</v>
      </c>
      <c r="G24" s="33">
        <f>D24*Input_values!$B$5*((1+Input_values!$B$6)^A24)</f>
        <v>19990589.90032446</v>
      </c>
      <c r="H24" s="112">
        <f t="shared" si="4"/>
        <v>6.6625203304359643E-2</v>
      </c>
      <c r="I24" s="33">
        <f t="shared" si="12"/>
        <v>16038860.650069986</v>
      </c>
      <c r="J24" s="34">
        <f t="shared" si="5"/>
        <v>300045461.91030335</v>
      </c>
      <c r="K24" s="34">
        <f t="shared" si="0"/>
        <v>300045461.91030335</v>
      </c>
      <c r="L24" s="25">
        <f t="shared" si="6"/>
        <v>1</v>
      </c>
      <c r="M24" s="7">
        <f t="shared" si="1"/>
        <v>0</v>
      </c>
      <c r="N24" s="17">
        <f t="shared" si="11"/>
        <v>0</v>
      </c>
      <c r="O24" s="34">
        <f t="shared" si="2"/>
        <v>0</v>
      </c>
      <c r="P24" s="7">
        <f>O24*(Input_values!$B$7*(1+Input_values!$B$8)^A24)/(Input_values!$B$13*(1+Input_values!$B$14)^A24)</f>
        <v>0</v>
      </c>
      <c r="Q24" s="7">
        <f>P24*Input_values!$B$10</f>
        <v>0</v>
      </c>
      <c r="R24" s="17">
        <f>Input_values!L58+Input_values!N58</f>
        <v>0.52393292051979379</v>
      </c>
      <c r="S24" s="32">
        <f>J24*Input_values!$B$7</f>
        <v>3456658013388.2837</v>
      </c>
      <c r="T24" s="7">
        <f>S24*Input_values!$B$11</f>
        <v>1002430823882.6022</v>
      </c>
      <c r="U24" s="7">
        <f t="shared" si="7"/>
        <v>477224314706.72736</v>
      </c>
      <c r="V24" s="7" t="e">
        <f>U24*Input_values!#REF!*0.00045</f>
        <v>#REF!</v>
      </c>
      <c r="W24" s="7" t="e">
        <f t="shared" si="8"/>
        <v>#REF!</v>
      </c>
    </row>
    <row r="25" spans="1:23" x14ac:dyDescent="0.3">
      <c r="A25" s="1">
        <f t="shared" si="9"/>
        <v>22</v>
      </c>
      <c r="B25" s="2">
        <v>0</v>
      </c>
      <c r="C25" s="1">
        <f t="shared" si="3"/>
        <v>2042</v>
      </c>
      <c r="D25" s="7">
        <f>$D$2*(1+Input_values!$B$4)^(A25)</f>
        <v>302445825.60558575</v>
      </c>
      <c r="E25" s="3">
        <v>1</v>
      </c>
      <c r="F25" s="7">
        <f t="shared" si="10"/>
        <v>20251267.192624684</v>
      </c>
      <c r="G25" s="33">
        <f>D25*Input_values!$B$5*((1+Input_values!$B$6)^A25)</f>
        <v>20251267.192624684</v>
      </c>
      <c r="H25" s="112">
        <f t="shared" si="4"/>
        <v>6.695832932088143E-2</v>
      </c>
      <c r="I25" s="33">
        <f t="shared" si="12"/>
        <v>16248007.392946895</v>
      </c>
      <c r="J25" s="34">
        <f t="shared" si="5"/>
        <v>302445825.60558575</v>
      </c>
      <c r="K25" s="34">
        <f t="shared" si="0"/>
        <v>302445825.60558575</v>
      </c>
      <c r="L25" s="25">
        <f t="shared" si="6"/>
        <v>1</v>
      </c>
      <c r="M25" s="7">
        <f t="shared" si="1"/>
        <v>0</v>
      </c>
      <c r="N25" s="17">
        <f t="shared" si="11"/>
        <v>0</v>
      </c>
      <c r="O25" s="34">
        <f t="shared" si="2"/>
        <v>0</v>
      </c>
      <c r="P25" s="7">
        <f>O25*(Input_values!$B$7*(1+Input_values!$B$8)^A25)/(Input_values!$B$13*(1+Input_values!$B$14)^A25)</f>
        <v>0</v>
      </c>
      <c r="Q25" s="7">
        <f>P25*Input_values!$B$10</f>
        <v>0</v>
      </c>
      <c r="R25" s="17">
        <f>Input_values!L59+Input_values!N59</f>
        <v>0.52351192181306005</v>
      </c>
      <c r="S25" s="32">
        <f>J25*Input_values!$B$7</f>
        <v>3484311277495.3896</v>
      </c>
      <c r="T25" s="7">
        <f>S25*Input_values!$B$11</f>
        <v>1010450270473.663</v>
      </c>
      <c r="U25" s="7">
        <f t="shared" si="7"/>
        <v>481467507481.46936</v>
      </c>
      <c r="V25" s="7" t="e">
        <f>U25*Input_values!#REF!*0.00045</f>
        <v>#REF!</v>
      </c>
      <c r="W25" s="7" t="e">
        <f t="shared" si="8"/>
        <v>#REF!</v>
      </c>
    </row>
    <row r="26" spans="1:23" x14ac:dyDescent="0.3">
      <c r="A26" s="1">
        <f t="shared" si="9"/>
        <v>23</v>
      </c>
      <c r="B26" s="2">
        <v>0</v>
      </c>
      <c r="C26" s="1">
        <f t="shared" si="3"/>
        <v>2043</v>
      </c>
      <c r="D26" s="7">
        <f>$D$2*(1+Input_values!$B$4)^(A26)</f>
        <v>304865392.2104305</v>
      </c>
      <c r="E26" s="3">
        <v>1</v>
      </c>
      <c r="F26" s="7">
        <f t="shared" si="10"/>
        <v>20515343.716816511</v>
      </c>
      <c r="G26" s="33">
        <f>D26*Input_values!$B$5*((1+Input_values!$B$6)^A26)</f>
        <v>20515343.716816511</v>
      </c>
      <c r="H26" s="112">
        <f t="shared" si="4"/>
        <v>6.7293120967485826E-2</v>
      </c>
      <c r="I26" s="33">
        <f t="shared" si="12"/>
        <v>16459881.409350919</v>
      </c>
      <c r="J26" s="34">
        <f t="shared" si="5"/>
        <v>304865392.2104305</v>
      </c>
      <c r="K26" s="34">
        <f t="shared" si="0"/>
        <v>304865392.2104305</v>
      </c>
      <c r="L26" s="25">
        <f t="shared" si="6"/>
        <v>1</v>
      </c>
      <c r="M26" s="7">
        <f t="shared" si="1"/>
        <v>0</v>
      </c>
      <c r="N26" s="17">
        <f t="shared" si="11"/>
        <v>0</v>
      </c>
      <c r="O26" s="34">
        <f t="shared" si="2"/>
        <v>0</v>
      </c>
      <c r="P26" s="7">
        <f>O26*(Input_values!$B$7*(1+Input_values!$B$8)^A26)/(Input_values!$B$13*(1+Input_values!$B$14)^A26)</f>
        <v>0</v>
      </c>
      <c r="Q26" s="7">
        <f>P26*Input_values!$B$10</f>
        <v>0</v>
      </c>
      <c r="R26" s="17">
        <f>Input_values!L60+Input_values!N60</f>
        <v>0.52179441790917702</v>
      </c>
      <c r="S26" s="32">
        <f>J26*Input_values!$B$7</f>
        <v>3512185767715.3535</v>
      </c>
      <c r="T26" s="7">
        <f>S26*Input_values!$B$11</f>
        <v>1018533872637.4524</v>
      </c>
      <c r="U26" s="7">
        <f t="shared" si="7"/>
        <v>487068583443.81305</v>
      </c>
      <c r="V26" s="7" t="e">
        <f>U26*Input_values!#REF!*0.00045</f>
        <v>#REF!</v>
      </c>
      <c r="W26" s="7" t="e">
        <f t="shared" si="8"/>
        <v>#REF!</v>
      </c>
    </row>
    <row r="27" spans="1:23" x14ac:dyDescent="0.3">
      <c r="A27" s="1">
        <f t="shared" si="9"/>
        <v>24</v>
      </c>
      <c r="B27" s="2">
        <v>0</v>
      </c>
      <c r="C27" s="1">
        <f t="shared" si="3"/>
        <v>2044</v>
      </c>
      <c r="D27" s="7">
        <f>$D$2*(1+Input_values!$B$4)^(A27)</f>
        <v>307304315.34811395</v>
      </c>
      <c r="E27" s="3">
        <v>1</v>
      </c>
      <c r="F27" s="7">
        <f t="shared" si="10"/>
        <v>20782863.798883803</v>
      </c>
      <c r="G27" s="33">
        <f>D27*Input_values!$B$5*((1+Input_values!$B$6)^A27)</f>
        <v>20782863.798883803</v>
      </c>
      <c r="H27" s="112">
        <f t="shared" si="4"/>
        <v>6.7629586572323264E-2</v>
      </c>
      <c r="I27" s="33">
        <f t="shared" si="12"/>
        <v>16674518.262928857</v>
      </c>
      <c r="J27" s="34">
        <f t="shared" si="5"/>
        <v>307304315.34811395</v>
      </c>
      <c r="K27" s="34">
        <f t="shared" si="0"/>
        <v>307304315.34811395</v>
      </c>
      <c r="L27" s="25">
        <f t="shared" si="6"/>
        <v>1</v>
      </c>
      <c r="M27" s="7">
        <f t="shared" si="1"/>
        <v>0</v>
      </c>
      <c r="N27" s="17">
        <f t="shared" si="11"/>
        <v>0</v>
      </c>
      <c r="O27" s="34">
        <f t="shared" si="2"/>
        <v>0</v>
      </c>
      <c r="P27" s="7">
        <f>O27*(Input_values!$B$7*(1+Input_values!$B$8)^A27)/(Input_values!$B$13*(1+Input_values!$B$14)^A27)</f>
        <v>0</v>
      </c>
      <c r="Q27" s="7">
        <f>P27*Input_values!$B$10</f>
        <v>0</v>
      </c>
      <c r="R27" s="17">
        <f>Input_values!L61+Input_values!N61</f>
        <v>0.52156307365949317</v>
      </c>
      <c r="S27" s="32">
        <f>J27*Input_values!$B$7</f>
        <v>3540283253857.0762</v>
      </c>
      <c r="T27" s="7">
        <f>S27*Input_values!$B$11</f>
        <v>1026682143618.552</v>
      </c>
      <c r="U27" s="7">
        <f>T27*(1-R27)</f>
        <v>491202649121.54285</v>
      </c>
      <c r="V27" s="7" t="e">
        <f>U27*Input_values!#REF!*0.00045</f>
        <v>#REF!</v>
      </c>
      <c r="W27" s="7" t="e">
        <f t="shared" si="8"/>
        <v>#REF!</v>
      </c>
    </row>
    <row r="28" spans="1:23" x14ac:dyDescent="0.3">
      <c r="A28" s="1">
        <f t="shared" si="9"/>
        <v>25</v>
      </c>
      <c r="B28" s="2">
        <v>0</v>
      </c>
      <c r="C28" s="1">
        <f t="shared" si="3"/>
        <v>2045</v>
      </c>
      <c r="D28" s="7">
        <f>$D$2*(1+Input_values!$B$4)^(A28)</f>
        <v>309762749.87089884</v>
      </c>
      <c r="E28" s="3">
        <v>1</v>
      </c>
      <c r="F28" s="7">
        <f t="shared" si="10"/>
        <v>21053872.34282124</v>
      </c>
      <c r="G28" s="33">
        <f>D28*Input_values!$B$5*((1+Input_values!$B$6)^A28)</f>
        <v>21053872.34282124</v>
      </c>
      <c r="H28" s="112">
        <f t="shared" si="4"/>
        <v>6.7967734505184868E-2</v>
      </c>
      <c r="I28" s="33">
        <f t="shared" si="12"/>
        <v>16891953.981077448</v>
      </c>
      <c r="J28" s="34">
        <f t="shared" si="5"/>
        <v>309762749.87089884</v>
      </c>
      <c r="K28" s="34">
        <f t="shared" si="0"/>
        <v>309762749.87089884</v>
      </c>
      <c r="L28" s="25">
        <f t="shared" si="6"/>
        <v>1</v>
      </c>
      <c r="M28" s="7">
        <f t="shared" si="1"/>
        <v>0</v>
      </c>
      <c r="N28" s="17">
        <f t="shared" si="11"/>
        <v>0</v>
      </c>
      <c r="O28" s="34">
        <f t="shared" si="2"/>
        <v>0</v>
      </c>
      <c r="P28" s="7">
        <f>O28*(Input_values!$B$7*(1+Input_values!$B$8)^A28)/(Input_values!$B$13*(1+Input_values!$B$14)^A28)</f>
        <v>0</v>
      </c>
      <c r="Q28" s="7">
        <f>P28*Input_values!$B$10</f>
        <v>0</v>
      </c>
      <c r="R28" s="17">
        <f>Input_values!L62+Input_values!N62</f>
        <v>0.52154159557871671</v>
      </c>
      <c r="S28" s="32">
        <f>J28*Input_values!$B$7</f>
        <v>3568605519887.9326</v>
      </c>
      <c r="T28" s="7">
        <f>S28*Input_values!$B$11</f>
        <v>1034895600767.5004</v>
      </c>
      <c r="U28" s="7">
        <f t="shared" si="7"/>
        <v>495154497885.82361</v>
      </c>
      <c r="V28" s="7" t="e">
        <f>U28*Input_values!#REF!*0.00045</f>
        <v>#REF!</v>
      </c>
      <c r="W28" s="7" t="e">
        <f t="shared" si="8"/>
        <v>#REF!</v>
      </c>
    </row>
    <row r="29" spans="1:23" x14ac:dyDescent="0.3">
      <c r="A29" s="1">
        <f t="shared" si="9"/>
        <v>26</v>
      </c>
      <c r="B29" s="2">
        <v>0</v>
      </c>
      <c r="C29" s="1">
        <f t="shared" si="3"/>
        <v>2046</v>
      </c>
      <c r="D29" s="7">
        <f>$D$2*(1+Input_values!$B$4)^(A29)</f>
        <v>312240851.86986607</v>
      </c>
      <c r="E29" s="3">
        <v>1</v>
      </c>
      <c r="F29" s="7">
        <f t="shared" si="10"/>
        <v>21328414.838171631</v>
      </c>
      <c r="G29" s="33">
        <f>D29*Input_values!$B$5*((1+Input_values!$B$6)^A29)</f>
        <v>21328414.838171631</v>
      </c>
      <c r="H29" s="112">
        <f t="shared" si="4"/>
        <v>6.8307573177710787E-2</v>
      </c>
      <c r="I29" s="33">
        <f t="shared" si="12"/>
        <v>17112225.060990699</v>
      </c>
      <c r="J29" s="34">
        <f t="shared" si="5"/>
        <v>312240851.86986607</v>
      </c>
      <c r="K29" s="34">
        <f t="shared" si="0"/>
        <v>312240851.86986607</v>
      </c>
      <c r="L29" s="25">
        <f t="shared" si="6"/>
        <v>1</v>
      </c>
      <c r="M29" s="7">
        <f t="shared" si="1"/>
        <v>0</v>
      </c>
      <c r="N29" s="17">
        <f t="shared" si="11"/>
        <v>0</v>
      </c>
      <c r="O29" s="34">
        <f t="shared" si="2"/>
        <v>0</v>
      </c>
      <c r="P29" s="7">
        <f>O29*(Input_values!$B$7*(1+Input_values!$B$8)^A29)/(Input_values!$B$13*(1+Input_values!$B$14)^A29)</f>
        <v>0</v>
      </c>
      <c r="Q29" s="7">
        <f>P29*Input_values!$B$10</f>
        <v>0</v>
      </c>
      <c r="R29" s="17">
        <f>Input_values!L63+Input_values!N63</f>
        <v>0.52439646772857373</v>
      </c>
      <c r="S29" s="32">
        <f>J29*Input_values!$B$7</f>
        <v>3597154364047.0366</v>
      </c>
      <c r="T29" s="7">
        <f>S29*Input_values!$B$11</f>
        <v>1043174765573.6405</v>
      </c>
      <c r="U29" s="7">
        <f t="shared" si="7"/>
        <v>496137603283.24048</v>
      </c>
      <c r="V29" s="7" t="e">
        <f>U29*Input_values!#REF!*0.00045</f>
        <v>#REF!</v>
      </c>
      <c r="W29" s="7" t="e">
        <f t="shared" si="8"/>
        <v>#REF!</v>
      </c>
    </row>
    <row r="30" spans="1:23" x14ac:dyDescent="0.3">
      <c r="A30" s="1">
        <f t="shared" si="9"/>
        <v>27</v>
      </c>
      <c r="B30" s="2">
        <v>0</v>
      </c>
      <c r="C30" s="1">
        <f t="shared" si="3"/>
        <v>2047</v>
      </c>
      <c r="D30" s="7">
        <f>$D$2*(1+Input_values!$B$4)^(A30)</f>
        <v>314738778.68482506</v>
      </c>
      <c r="E30" s="3">
        <v>1</v>
      </c>
      <c r="F30" s="7">
        <f t="shared" si="10"/>
        <v>21606537.36766139</v>
      </c>
      <c r="G30" s="33">
        <f>D30*Input_values!$B$5*((1+Input_values!$B$6)^A30)</f>
        <v>21606537.36766139</v>
      </c>
      <c r="H30" s="112">
        <f t="shared" si="4"/>
        <v>6.8649111043599331E-2</v>
      </c>
      <c r="I30" s="33">
        <f t="shared" si="12"/>
        <v>17335368.475786015</v>
      </c>
      <c r="J30" s="34">
        <f t="shared" si="5"/>
        <v>314738778.68482506</v>
      </c>
      <c r="K30" s="34">
        <f t="shared" si="0"/>
        <v>314738778.68482506</v>
      </c>
      <c r="L30" s="25">
        <f t="shared" si="6"/>
        <v>1</v>
      </c>
      <c r="M30" s="7">
        <f t="shared" si="1"/>
        <v>0</v>
      </c>
      <c r="N30" s="17">
        <f t="shared" si="11"/>
        <v>0</v>
      </c>
      <c r="O30" s="34">
        <f t="shared" si="2"/>
        <v>0</v>
      </c>
      <c r="P30" s="7">
        <f>O30*(Input_values!$B$7*(1+Input_values!$B$8)^A30)/(Input_values!$B$13*(1+Input_values!$B$14)^A30)</f>
        <v>0</v>
      </c>
      <c r="Q30" s="7">
        <f>P30*Input_values!$B$10</f>
        <v>0</v>
      </c>
      <c r="R30" s="17">
        <f>Input_values!L64+Input_values!N64</f>
        <v>0.52791205545836828</v>
      </c>
      <c r="S30" s="32">
        <f>J30*Input_values!$B$7</f>
        <v>3625931598959.4136</v>
      </c>
      <c r="T30" s="7">
        <f>S30*Input_values!$B$11</f>
        <v>1051520163698.2299</v>
      </c>
      <c r="U30" s="7">
        <f t="shared" si="7"/>
        <v>496409992724.37744</v>
      </c>
      <c r="V30" s="7" t="e">
        <f>U30*Input_values!#REF!*0.00045</f>
        <v>#REF!</v>
      </c>
      <c r="W30" s="7" t="e">
        <f t="shared" si="8"/>
        <v>#REF!</v>
      </c>
    </row>
    <row r="31" spans="1:23" x14ac:dyDescent="0.3">
      <c r="A31" s="1">
        <f t="shared" si="9"/>
        <v>28</v>
      </c>
      <c r="B31" s="2">
        <v>0</v>
      </c>
      <c r="C31" s="1">
        <f t="shared" si="3"/>
        <v>2048</v>
      </c>
      <c r="D31" s="7">
        <f>$D$2*(1+Input_values!$B$4)^(A31)</f>
        <v>317256688.91430366</v>
      </c>
      <c r="E31" s="3">
        <v>1</v>
      </c>
      <c r="F31" s="7">
        <f t="shared" si="10"/>
        <v>21888286.614935689</v>
      </c>
      <c r="G31" s="33">
        <f>D31*Input_values!$B$5*((1+Input_values!$B$6)^A31)</f>
        <v>21888286.614935689</v>
      </c>
      <c r="H31" s="112">
        <f t="shared" si="4"/>
        <v>6.8992356598817306E-2</v>
      </c>
      <c r="I31" s="33">
        <f t="shared" si="12"/>
        <v>17561421.680710264</v>
      </c>
      <c r="J31" s="34">
        <f t="shared" si="5"/>
        <v>317256688.91430366</v>
      </c>
      <c r="K31" s="34">
        <f t="shared" si="0"/>
        <v>317256688.91430366</v>
      </c>
      <c r="L31" s="25">
        <f t="shared" si="6"/>
        <v>1</v>
      </c>
      <c r="M31" s="7">
        <f t="shared" si="1"/>
        <v>0</v>
      </c>
      <c r="N31" s="17">
        <f t="shared" si="11"/>
        <v>0</v>
      </c>
      <c r="O31" s="34">
        <f t="shared" si="2"/>
        <v>0</v>
      </c>
      <c r="P31" s="7">
        <f>O31*(Input_values!$B$7*(1+Input_values!$B$8)^A31)/(Input_values!$B$13*(1+Input_values!$B$14)^A31)</f>
        <v>0</v>
      </c>
      <c r="Q31" s="7">
        <f>P31*Input_values!$B$10</f>
        <v>0</v>
      </c>
      <c r="R31" s="17">
        <f>Input_values!L65+Input_values!N65</f>
        <v>0.52871631044500045</v>
      </c>
      <c r="S31" s="32">
        <f>J31*Input_values!$B$7</f>
        <v>3654939051751.0889</v>
      </c>
      <c r="T31" s="7">
        <f>S31*Input_values!$B$11</f>
        <v>1059932325007.8157</v>
      </c>
      <c r="U31" s="7">
        <f t="shared" si="7"/>
        <v>499528816808.2923</v>
      </c>
      <c r="V31" s="7" t="e">
        <f>U31*Input_values!#REF!*0.00045</f>
        <v>#REF!</v>
      </c>
      <c r="W31" s="7" t="e">
        <f t="shared" si="8"/>
        <v>#REF!</v>
      </c>
    </row>
    <row r="32" spans="1:23" x14ac:dyDescent="0.3">
      <c r="A32" s="1">
        <f t="shared" si="9"/>
        <v>29</v>
      </c>
      <c r="B32" s="2">
        <v>0</v>
      </c>
      <c r="C32" s="1">
        <f t="shared" si="3"/>
        <v>2049</v>
      </c>
      <c r="D32" s="7">
        <f>$D$2*(1+Input_values!$B$4)^(A32)</f>
        <v>319794742.42561805</v>
      </c>
      <c r="E32" s="3">
        <v>1</v>
      </c>
      <c r="F32" s="7">
        <f t="shared" si="10"/>
        <v>22173709.872394443</v>
      </c>
      <c r="G32" s="33">
        <f>D32*Input_values!$B$5*((1+Input_values!$B$6)^A32)</f>
        <v>22173709.872394443</v>
      </c>
      <c r="H32" s="112">
        <f t="shared" si="4"/>
        <v>6.9337318381811383E-2</v>
      </c>
      <c r="I32" s="33">
        <f t="shared" si="12"/>
        <v>17790422.61942672</v>
      </c>
      <c r="J32" s="34">
        <f t="shared" si="5"/>
        <v>319794742.42561805</v>
      </c>
      <c r="K32" s="34">
        <f t="shared" si="0"/>
        <v>319794742.42561805</v>
      </c>
      <c r="L32" s="25">
        <f t="shared" si="6"/>
        <v>1</v>
      </c>
      <c r="M32" s="7">
        <f t="shared" si="1"/>
        <v>0</v>
      </c>
      <c r="N32" s="17">
        <f t="shared" si="11"/>
        <v>0</v>
      </c>
      <c r="O32" s="34">
        <f t="shared" si="2"/>
        <v>0</v>
      </c>
      <c r="P32" s="7">
        <f>O32*(Input_values!$B$7*(1+Input_values!$B$8)^A32)/(Input_values!$B$13*(1+Input_values!$B$14)^A32)</f>
        <v>0</v>
      </c>
      <c r="Q32" s="7">
        <f>P32*Input_values!$B$10</f>
        <v>0</v>
      </c>
      <c r="R32" s="17">
        <f>Input_values!L66+Input_values!N66</f>
        <v>0.52950206273940503</v>
      </c>
      <c r="S32" s="32">
        <f>J32*Input_values!$B$7</f>
        <v>3684178564165.0972</v>
      </c>
      <c r="T32" s="7">
        <f>S32*Input_values!$B$11</f>
        <v>1068411783607.8781</v>
      </c>
      <c r="U32" s="7">
        <f t="shared" si="7"/>
        <v>502685540332.4198</v>
      </c>
      <c r="V32" s="7" t="e">
        <f>U32*Input_values!#REF!*0.00045</f>
        <v>#REF!</v>
      </c>
      <c r="W32" s="7" t="e">
        <f t="shared" si="8"/>
        <v>#REF!</v>
      </c>
    </row>
    <row r="33" spans="1:23" x14ac:dyDescent="0.3">
      <c r="A33" s="1">
        <f t="shared" si="9"/>
        <v>30</v>
      </c>
      <c r="B33" s="2">
        <v>0</v>
      </c>
      <c r="C33" s="1">
        <f t="shared" si="3"/>
        <v>2050</v>
      </c>
      <c r="D33" s="7">
        <f>$D$2*(1+Input_values!$B$4)^(A33)</f>
        <v>322353100.36502302</v>
      </c>
      <c r="E33" s="3">
        <v>1</v>
      </c>
      <c r="F33" s="7">
        <f t="shared" si="10"/>
        <v>22462855.049130466</v>
      </c>
      <c r="G33" s="33">
        <f>D33*Input_values!$B$5*((1+Input_values!$B$6)^A33)</f>
        <v>22462855.049130466</v>
      </c>
      <c r="H33" s="13">
        <f t="shared" si="4"/>
        <v>6.9684004973720431E-2</v>
      </c>
      <c r="I33" s="33">
        <f t="shared" si="12"/>
        <v>18022409.730384041</v>
      </c>
      <c r="J33" s="34">
        <f t="shared" si="5"/>
        <v>322353100.36502302</v>
      </c>
      <c r="K33" s="34">
        <f t="shared" si="0"/>
        <v>322353100.36502302</v>
      </c>
      <c r="L33" s="25">
        <f t="shared" si="6"/>
        <v>1</v>
      </c>
      <c r="M33" s="7">
        <f t="shared" si="1"/>
        <v>0</v>
      </c>
      <c r="N33" s="17">
        <f t="shared" si="11"/>
        <v>0</v>
      </c>
      <c r="O33" s="34">
        <f t="shared" si="2"/>
        <v>0</v>
      </c>
      <c r="P33" s="7">
        <f>O33*(Input_values!$B$7*(1+Input_values!$B$8)^A33)/(Input_values!$B$13*(1+Input_values!$B$14)^A33)</f>
        <v>0</v>
      </c>
      <c r="Q33" s="7">
        <f>P33*Input_values!$B$10</f>
        <v>0</v>
      </c>
      <c r="R33" s="17">
        <f>Input_values!L67+Input_values!N67</f>
        <v>0.52973073007814242</v>
      </c>
      <c r="S33" s="32">
        <f>J33*Input_values!$B$7</f>
        <v>3713651992678.418</v>
      </c>
      <c r="T33" s="7">
        <f>S33*Input_values!$B$11</f>
        <v>1076959077876.7411</v>
      </c>
      <c r="U33" s="7">
        <f t="shared" si="7"/>
        <v>506460759288.81201</v>
      </c>
      <c r="V33" s="7" t="e">
        <f>U33*Input_values!#REF!*0.00045</f>
        <v>#REF!</v>
      </c>
      <c r="W33" s="7" t="e">
        <f t="shared" si="8"/>
        <v>#REF!</v>
      </c>
    </row>
    <row r="34" spans="1:23" x14ac:dyDescent="0.3">
      <c r="J34" s="24"/>
      <c r="K34" s="24"/>
      <c r="T34" s="23"/>
    </row>
    <row r="35" spans="1:23" ht="18" x14ac:dyDescent="0.35">
      <c r="A35" s="8"/>
      <c r="B35" s="8"/>
      <c r="C35" s="5"/>
      <c r="E35" s="5"/>
      <c r="F35" s="6"/>
      <c r="J35" s="24"/>
      <c r="K35" s="24"/>
      <c r="L35" s="5"/>
      <c r="M35" s="5"/>
      <c r="N35" s="42"/>
      <c r="O35" s="23"/>
      <c r="P35" s="5"/>
      <c r="Q35" s="5"/>
      <c r="R35" s="5"/>
    </row>
    <row r="36" spans="1:23" x14ac:dyDescent="0.3">
      <c r="A36" s="9"/>
      <c r="B36" s="9"/>
      <c r="C36" s="9"/>
      <c r="D36" s="93"/>
      <c r="E36" s="9"/>
      <c r="F36" s="6"/>
      <c r="G36" s="95"/>
      <c r="H36" s="95"/>
      <c r="I36" s="97"/>
      <c r="J36" s="11"/>
      <c r="K36" s="11"/>
      <c r="L36" s="9"/>
      <c r="M36" s="9"/>
      <c r="N36" s="9"/>
      <c r="O36" s="93"/>
      <c r="P36" s="9"/>
      <c r="Q36" s="7"/>
      <c r="R36" s="10"/>
    </row>
    <row r="37" spans="1:23" x14ac:dyDescent="0.3">
      <c r="A37" s="87" t="s">
        <v>86</v>
      </c>
      <c r="B37" s="9"/>
      <c r="D37" s="94"/>
      <c r="E37" s="6"/>
      <c r="F37" s="6"/>
      <c r="G37" s="95"/>
      <c r="H37" s="95"/>
      <c r="I37" s="96"/>
      <c r="J37" s="12"/>
      <c r="K37" s="12"/>
      <c r="L37" s="16"/>
      <c r="M37" s="16"/>
      <c r="N37" s="6"/>
      <c r="O37" s="94"/>
      <c r="P37" s="6"/>
      <c r="Q37" s="6"/>
      <c r="R37" s="6"/>
    </row>
    <row r="38" spans="1:23" x14ac:dyDescent="0.3">
      <c r="A38" s="5"/>
      <c r="B38" s="5"/>
      <c r="C38" s="5"/>
      <c r="D38" s="94"/>
      <c r="F38" s="6"/>
      <c r="G38" s="95"/>
      <c r="H38" s="95"/>
      <c r="I38" s="96"/>
      <c r="J38" s="12"/>
      <c r="K38" s="12"/>
      <c r="L38" s="16"/>
      <c r="M38" s="16"/>
      <c r="Q38" s="6"/>
      <c r="R38" s="6"/>
    </row>
    <row r="39" spans="1:23" x14ac:dyDescent="0.3">
      <c r="A39" s="5"/>
      <c r="B39" s="5"/>
      <c r="C39" s="5"/>
      <c r="D39" s="94"/>
      <c r="E39" s="6"/>
      <c r="F39" s="6"/>
      <c r="G39" s="95"/>
      <c r="H39" s="95"/>
      <c r="I39" s="16"/>
      <c r="J39" s="12"/>
      <c r="K39" s="12"/>
      <c r="L39" s="16"/>
      <c r="M39" s="16"/>
      <c r="N39" s="6"/>
      <c r="O39" s="94"/>
      <c r="P39" s="6"/>
      <c r="Q39" s="6"/>
      <c r="R39" s="6"/>
    </row>
    <row r="40" spans="1:23" x14ac:dyDescent="0.3">
      <c r="A40" s="5"/>
      <c r="B40" s="5"/>
      <c r="C40" s="5"/>
      <c r="D40" s="94"/>
      <c r="E40" s="6"/>
      <c r="F40" s="6"/>
      <c r="G40" s="95"/>
      <c r="H40" s="95"/>
      <c r="I40" s="16"/>
      <c r="J40" s="12"/>
      <c r="K40" s="12"/>
      <c r="L40" s="16"/>
      <c r="M40" s="16"/>
      <c r="N40" s="6"/>
      <c r="O40" s="94"/>
      <c r="P40" s="6"/>
      <c r="Q40" s="6"/>
      <c r="R40" s="6"/>
    </row>
    <row r="41" spans="1:23" x14ac:dyDescent="0.3">
      <c r="A41" s="5"/>
      <c r="B41" s="5"/>
      <c r="C41" s="5"/>
      <c r="D41" s="94"/>
      <c r="E41" s="6"/>
      <c r="F41" s="6"/>
      <c r="G41" s="95"/>
      <c r="H41" s="95"/>
      <c r="I41" s="16"/>
      <c r="J41" s="12"/>
      <c r="K41" s="12"/>
      <c r="L41" s="16"/>
      <c r="M41" s="16"/>
      <c r="N41" s="6"/>
      <c r="O41" s="94"/>
      <c r="P41" s="6"/>
      <c r="Q41" s="6"/>
      <c r="R41" s="6"/>
    </row>
    <row r="42" spans="1:23" x14ac:dyDescent="0.3">
      <c r="A42" s="5"/>
      <c r="B42" s="5"/>
      <c r="C42" s="5"/>
      <c r="D42" s="94"/>
      <c r="E42" s="6"/>
      <c r="F42" s="6"/>
      <c r="G42" s="95"/>
      <c r="H42" s="95"/>
      <c r="I42" s="16"/>
      <c r="J42" s="12"/>
      <c r="K42" s="12"/>
      <c r="L42" s="16"/>
      <c r="M42" s="16"/>
      <c r="N42" s="6"/>
      <c r="O42" s="94"/>
      <c r="P42" s="6"/>
      <c r="Q42" s="6"/>
      <c r="R42" s="6"/>
    </row>
    <row r="43" spans="1:23" x14ac:dyDescent="0.3">
      <c r="A43" s="5"/>
      <c r="B43" s="5"/>
      <c r="C43" s="5"/>
      <c r="D43" s="94"/>
      <c r="E43" s="6"/>
      <c r="F43" s="6"/>
      <c r="G43" s="95"/>
      <c r="H43" s="95"/>
      <c r="I43" s="16"/>
      <c r="J43" s="12"/>
      <c r="K43" s="12"/>
      <c r="L43" s="16"/>
      <c r="M43" s="16"/>
      <c r="N43" s="6"/>
      <c r="O43" s="94"/>
      <c r="P43" s="6"/>
      <c r="Q43" s="6"/>
      <c r="R43" s="6"/>
    </row>
    <row r="44" spans="1:23" x14ac:dyDescent="0.3">
      <c r="A44" s="5"/>
      <c r="B44" s="5"/>
      <c r="C44" s="5"/>
      <c r="D44" s="94"/>
      <c r="E44" s="6"/>
      <c r="F44" s="6"/>
      <c r="G44" s="95"/>
      <c r="H44" s="95"/>
      <c r="I44" s="16"/>
      <c r="J44" s="12"/>
      <c r="K44" s="12"/>
      <c r="L44" s="16"/>
      <c r="M44" s="16"/>
      <c r="N44" s="6"/>
      <c r="O44" s="94"/>
      <c r="P44" s="6"/>
      <c r="Q44" s="6"/>
      <c r="R44" s="6"/>
    </row>
    <row r="45" spans="1:23" x14ac:dyDescent="0.3">
      <c r="A45" s="5"/>
      <c r="B45" s="5"/>
      <c r="C45" s="5"/>
      <c r="D45" s="94"/>
      <c r="E45" s="6"/>
      <c r="F45" s="6"/>
      <c r="G45" s="95"/>
      <c r="H45" s="95"/>
      <c r="I45" s="96"/>
      <c r="J45" s="12"/>
      <c r="K45" s="12"/>
      <c r="L45" s="16"/>
      <c r="M45" s="16"/>
      <c r="N45" s="6"/>
      <c r="O45" s="94"/>
      <c r="P45" s="6"/>
      <c r="Q45" s="6"/>
      <c r="R45" s="6"/>
    </row>
    <row r="46" spans="1:23" x14ac:dyDescent="0.3">
      <c r="A46" s="5"/>
      <c r="B46" s="5"/>
      <c r="C46" s="5"/>
      <c r="D46" s="94"/>
      <c r="E46" s="6"/>
      <c r="F46" s="6"/>
      <c r="G46" s="95"/>
      <c r="H46" s="95"/>
      <c r="I46" s="96"/>
      <c r="J46" s="12"/>
      <c r="K46" s="12"/>
      <c r="L46" s="16"/>
      <c r="M46" s="16"/>
      <c r="N46" s="6"/>
      <c r="O46" s="94"/>
      <c r="P46" s="6"/>
      <c r="Q46" s="6"/>
      <c r="R46" s="6"/>
    </row>
    <row r="47" spans="1:23" x14ac:dyDescent="0.3">
      <c r="A47" s="5"/>
      <c r="B47" s="5"/>
      <c r="C47" s="5"/>
      <c r="D47" s="94"/>
      <c r="E47" s="6"/>
      <c r="F47" s="6"/>
      <c r="G47" s="95"/>
      <c r="H47" s="95"/>
      <c r="I47" s="96"/>
      <c r="J47" s="12"/>
      <c r="K47" s="12"/>
      <c r="L47" s="16"/>
      <c r="M47" s="16"/>
      <c r="N47" s="6"/>
      <c r="O47" s="94"/>
      <c r="P47" s="6"/>
      <c r="Q47" s="6"/>
      <c r="R47" s="6"/>
    </row>
    <row r="48" spans="1:23" x14ac:dyDescent="0.3">
      <c r="A48" s="5"/>
      <c r="B48" s="5"/>
      <c r="C48" s="5"/>
      <c r="D48" s="94"/>
      <c r="E48" s="6"/>
      <c r="F48" s="6"/>
      <c r="G48" s="95"/>
      <c r="H48" s="95"/>
      <c r="I48" s="96"/>
      <c r="J48" s="12"/>
      <c r="K48" s="12"/>
      <c r="L48" s="16"/>
      <c r="M48" s="16"/>
      <c r="N48" s="6"/>
      <c r="O48" s="94"/>
      <c r="P48" s="6"/>
      <c r="Q48" s="6"/>
      <c r="R48" s="6"/>
    </row>
    <row r="49" spans="1:18" x14ac:dyDescent="0.3">
      <c r="A49" s="5"/>
      <c r="B49" s="5"/>
      <c r="C49" s="5"/>
      <c r="D49" s="94"/>
      <c r="E49" s="6"/>
      <c r="F49" s="6"/>
      <c r="G49" s="95"/>
      <c r="H49" s="95"/>
      <c r="I49" s="96"/>
      <c r="J49" s="12"/>
      <c r="K49" s="12"/>
      <c r="L49" s="16"/>
      <c r="M49" s="16"/>
      <c r="N49" s="6"/>
      <c r="O49" s="94"/>
      <c r="P49" s="6"/>
      <c r="Q49" s="6"/>
      <c r="R49" s="6"/>
    </row>
    <row r="50" spans="1:18" x14ac:dyDescent="0.3">
      <c r="A50" s="5"/>
      <c r="B50" s="5"/>
      <c r="C50" s="5"/>
      <c r="D50" s="94"/>
      <c r="E50" s="6"/>
      <c r="F50" s="6"/>
      <c r="G50" s="95"/>
      <c r="H50" s="95"/>
      <c r="I50" s="96"/>
      <c r="J50" s="12"/>
      <c r="K50" s="12"/>
      <c r="L50" s="16"/>
      <c r="M50" s="16"/>
      <c r="N50" s="6"/>
      <c r="O50" s="94"/>
      <c r="P50" s="6"/>
      <c r="Q50" s="6"/>
      <c r="R50" s="6"/>
    </row>
    <row r="51" spans="1:18" x14ac:dyDescent="0.3">
      <c r="A51" s="5"/>
      <c r="B51" s="5"/>
      <c r="C51" s="5"/>
      <c r="D51" s="94"/>
      <c r="E51" s="6"/>
      <c r="F51" s="6"/>
      <c r="G51" s="95"/>
      <c r="H51" s="95"/>
      <c r="I51" s="96"/>
      <c r="J51" s="12"/>
      <c r="K51" s="12"/>
      <c r="L51" s="16"/>
      <c r="M51" s="16"/>
      <c r="N51" s="6"/>
      <c r="O51" s="94"/>
      <c r="P51" s="6"/>
      <c r="Q51" s="6"/>
      <c r="R51" s="6"/>
    </row>
    <row r="52" spans="1:18" x14ac:dyDescent="0.3">
      <c r="A52" s="5"/>
      <c r="B52" s="5"/>
      <c r="C52" s="5"/>
      <c r="D52" s="94"/>
      <c r="E52" s="6"/>
      <c r="F52" s="6"/>
      <c r="G52" s="95"/>
      <c r="H52" s="95"/>
      <c r="I52" s="96"/>
      <c r="J52" s="12"/>
      <c r="K52" s="12"/>
      <c r="L52" s="16"/>
      <c r="M52" s="16"/>
      <c r="N52" s="6"/>
      <c r="O52" s="94"/>
      <c r="P52" s="6"/>
      <c r="Q52" s="6"/>
      <c r="R52" s="6"/>
    </row>
    <row r="53" spans="1:18" x14ac:dyDescent="0.3">
      <c r="A53" s="5"/>
      <c r="B53" s="5"/>
      <c r="C53" s="5"/>
      <c r="D53" s="94"/>
      <c r="E53" s="6"/>
      <c r="F53" s="6"/>
      <c r="G53" s="95"/>
      <c r="H53" s="95"/>
      <c r="I53" s="96"/>
      <c r="J53" s="12"/>
      <c r="K53" s="12"/>
      <c r="L53" s="16"/>
      <c r="M53" s="16"/>
      <c r="N53" s="6"/>
      <c r="O53" s="94"/>
      <c r="P53" s="6"/>
      <c r="Q53" s="6"/>
      <c r="R53" s="6"/>
    </row>
    <row r="54" spans="1:18" x14ac:dyDescent="0.3">
      <c r="A54" s="5"/>
      <c r="B54" s="5"/>
      <c r="C54" s="5"/>
      <c r="D54" s="94"/>
      <c r="E54" s="6"/>
      <c r="F54" s="6"/>
      <c r="G54" s="95"/>
      <c r="H54" s="95"/>
      <c r="I54" s="96"/>
      <c r="J54" s="12"/>
      <c r="K54" s="12"/>
      <c r="L54" s="16"/>
      <c r="M54" s="16"/>
      <c r="N54" s="6"/>
      <c r="O54" s="94"/>
      <c r="P54" s="6"/>
      <c r="Q54" s="6"/>
      <c r="R54" s="6"/>
    </row>
    <row r="55" spans="1:18" x14ac:dyDescent="0.3">
      <c r="A55" s="5"/>
      <c r="B55" s="5"/>
      <c r="C55" s="5"/>
      <c r="D55" s="94"/>
      <c r="E55" s="6"/>
      <c r="F55" s="6"/>
      <c r="G55" s="95"/>
      <c r="H55" s="95"/>
      <c r="I55" s="96"/>
      <c r="J55" s="12"/>
      <c r="K55" s="12"/>
      <c r="L55" s="16"/>
      <c r="M55" s="16"/>
      <c r="N55" s="6"/>
      <c r="O55" s="94"/>
      <c r="P55" s="6"/>
      <c r="Q55" s="6"/>
      <c r="R55" s="6"/>
    </row>
    <row r="56" spans="1:18" x14ac:dyDescent="0.3">
      <c r="A56" s="5"/>
      <c r="B56" s="5"/>
      <c r="C56" s="5"/>
      <c r="D56" s="94"/>
      <c r="E56" s="6"/>
      <c r="F56" s="6"/>
      <c r="G56" s="95"/>
      <c r="H56" s="95"/>
      <c r="I56" s="96"/>
      <c r="J56" s="12"/>
      <c r="K56" s="12"/>
      <c r="L56" s="16"/>
      <c r="M56" s="16"/>
      <c r="N56" s="6"/>
      <c r="O56" s="94"/>
      <c r="P56" s="6"/>
      <c r="Q56" s="6"/>
      <c r="R56" s="6"/>
    </row>
    <row r="57" spans="1:18" x14ac:dyDescent="0.3">
      <c r="A57" s="5"/>
      <c r="B57" s="5"/>
      <c r="C57" s="5"/>
      <c r="D57" s="94"/>
      <c r="E57" s="6"/>
      <c r="F57" s="6"/>
      <c r="G57" s="95"/>
      <c r="H57" s="95"/>
      <c r="I57" s="96"/>
      <c r="J57" s="12"/>
      <c r="K57" s="12"/>
      <c r="L57" s="16"/>
      <c r="M57" s="16"/>
      <c r="N57" s="6"/>
      <c r="O57" s="94"/>
      <c r="P57" s="6"/>
      <c r="Q57" s="6"/>
      <c r="R57" s="6"/>
    </row>
    <row r="58" spans="1:18" x14ac:dyDescent="0.3">
      <c r="A58" s="5"/>
      <c r="B58" s="5"/>
      <c r="C58" s="5"/>
      <c r="D58" s="94"/>
      <c r="E58" s="6"/>
      <c r="F58" s="6"/>
      <c r="G58" s="95"/>
      <c r="H58" s="95"/>
      <c r="I58" s="96"/>
      <c r="J58" s="12"/>
      <c r="K58" s="12"/>
      <c r="L58" s="16"/>
      <c r="M58" s="16"/>
      <c r="N58" s="6"/>
      <c r="O58" s="94"/>
      <c r="P58" s="6"/>
      <c r="Q58" s="6"/>
      <c r="R58" s="6"/>
    </row>
    <row r="59" spans="1:18" x14ac:dyDescent="0.3">
      <c r="A59" s="5"/>
      <c r="B59" s="5"/>
      <c r="C59" s="5"/>
      <c r="D59" s="94"/>
      <c r="E59" s="6"/>
      <c r="F59" s="6"/>
      <c r="G59" s="95"/>
      <c r="H59" s="95"/>
      <c r="I59" s="96"/>
      <c r="J59" s="12"/>
      <c r="K59" s="12"/>
      <c r="L59" s="16"/>
      <c r="M59" s="16"/>
      <c r="N59" s="6"/>
      <c r="O59" s="94"/>
      <c r="P59" s="6"/>
      <c r="Q59" s="6"/>
      <c r="R59" s="6"/>
    </row>
    <row r="60" spans="1:18" x14ac:dyDescent="0.3">
      <c r="A60" s="5"/>
      <c r="B60" s="5"/>
      <c r="C60" s="5"/>
      <c r="D60" s="94"/>
      <c r="E60" s="6"/>
      <c r="F60" s="6"/>
      <c r="G60" s="95"/>
      <c r="H60" s="95"/>
      <c r="I60" s="96"/>
      <c r="J60" s="12"/>
      <c r="K60" s="12"/>
      <c r="L60" s="16"/>
      <c r="M60" s="16"/>
      <c r="N60" s="6"/>
      <c r="O60" s="94"/>
      <c r="P60" s="6"/>
      <c r="Q60" s="6"/>
      <c r="R60" s="6"/>
    </row>
    <row r="61" spans="1:18" x14ac:dyDescent="0.3">
      <c r="A61" s="5"/>
      <c r="B61" s="5"/>
      <c r="C61" s="5"/>
      <c r="D61" s="94"/>
      <c r="E61" s="6"/>
      <c r="F61" s="6"/>
      <c r="G61" s="95"/>
      <c r="H61" s="95"/>
      <c r="I61" s="96"/>
      <c r="J61" s="12"/>
      <c r="K61" s="12"/>
      <c r="L61" s="16"/>
      <c r="M61" s="16"/>
      <c r="N61" s="6"/>
      <c r="O61" s="94"/>
      <c r="P61" s="6"/>
      <c r="Q61" s="6"/>
      <c r="R61" s="6"/>
    </row>
    <row r="62" spans="1:18" x14ac:dyDescent="0.3">
      <c r="A62" s="5"/>
      <c r="B62" s="5"/>
      <c r="C62" s="5"/>
      <c r="D62" s="94"/>
      <c r="E62" s="6"/>
      <c r="F62" s="6"/>
      <c r="G62" s="95"/>
      <c r="H62" s="95"/>
      <c r="I62" s="96"/>
      <c r="J62" s="12"/>
      <c r="K62" s="12"/>
      <c r="L62" s="16"/>
      <c r="M62" s="16"/>
      <c r="N62" s="6"/>
      <c r="O62" s="94"/>
      <c r="P62" s="6"/>
      <c r="Q62" s="6"/>
      <c r="R62" s="6"/>
    </row>
    <row r="63" spans="1:18" x14ac:dyDescent="0.3">
      <c r="A63" s="5"/>
      <c r="B63" s="5"/>
      <c r="C63" s="5"/>
      <c r="D63" s="94"/>
      <c r="E63" s="6"/>
      <c r="F63" s="6"/>
      <c r="G63" s="95"/>
      <c r="H63" s="95"/>
      <c r="I63" s="96"/>
      <c r="J63" s="12"/>
      <c r="K63" s="12"/>
      <c r="L63" s="16"/>
      <c r="M63" s="16"/>
      <c r="N63" s="6"/>
      <c r="O63" s="94"/>
      <c r="P63" s="6"/>
      <c r="Q63" s="6"/>
      <c r="R63" s="6"/>
    </row>
    <row r="64" spans="1:18" x14ac:dyDescent="0.3">
      <c r="A64" s="5"/>
      <c r="B64" s="5"/>
      <c r="C64" s="5"/>
      <c r="D64" s="94"/>
      <c r="E64" s="6"/>
      <c r="F64" s="6"/>
      <c r="G64" s="95"/>
      <c r="H64" s="95"/>
      <c r="I64" s="96"/>
      <c r="J64" s="12"/>
      <c r="K64" s="12"/>
      <c r="L64" s="16"/>
      <c r="M64" s="16"/>
      <c r="N64" s="6"/>
      <c r="O64" s="94"/>
      <c r="P64" s="6"/>
      <c r="Q64" s="6"/>
      <c r="R64" s="6"/>
    </row>
    <row r="65" spans="1:18" x14ac:dyDescent="0.3">
      <c r="A65" s="5"/>
      <c r="B65" s="5"/>
      <c r="C65" s="5"/>
      <c r="D65" s="94"/>
      <c r="E65" s="6"/>
      <c r="F65" s="6"/>
      <c r="G65" s="95"/>
      <c r="H65" s="95"/>
      <c r="I65" s="96"/>
      <c r="J65" s="12"/>
      <c r="K65" s="12"/>
      <c r="L65" s="16"/>
      <c r="M65" s="16"/>
      <c r="N65" s="6"/>
      <c r="O65" s="94"/>
      <c r="P65" s="6"/>
      <c r="Q65" s="6"/>
      <c r="R65" s="6"/>
    </row>
    <row r="66" spans="1:18" x14ac:dyDescent="0.3">
      <c r="A66" s="5"/>
      <c r="B66" s="5"/>
      <c r="C66" s="5"/>
      <c r="D66" s="94"/>
      <c r="E66" s="6"/>
      <c r="F66" s="6"/>
      <c r="G66" s="95"/>
      <c r="H66" s="95"/>
      <c r="I66" s="96"/>
      <c r="J66" s="12"/>
      <c r="K66" s="12"/>
      <c r="L66" s="16"/>
      <c r="M66" s="16"/>
      <c r="N66" s="6"/>
      <c r="O66" s="94"/>
      <c r="P66" s="6"/>
      <c r="Q66" s="6"/>
      <c r="R66" s="6"/>
    </row>
    <row r="67" spans="1:18" x14ac:dyDescent="0.3">
      <c r="A67" s="5"/>
      <c r="B67" s="5"/>
      <c r="C67" s="5"/>
      <c r="D67" s="94"/>
      <c r="E67" s="6"/>
      <c r="F67" s="6"/>
      <c r="G67" s="95"/>
      <c r="H67" s="95"/>
      <c r="I67" s="96"/>
      <c r="J67" s="12"/>
      <c r="K67" s="12"/>
      <c r="L67" s="16"/>
      <c r="M67" s="16"/>
      <c r="N67" s="6"/>
      <c r="O67" s="94"/>
      <c r="P67" s="6"/>
      <c r="Q67" s="6"/>
      <c r="R67" s="6"/>
    </row>
    <row r="68" spans="1:18" x14ac:dyDescent="0.3">
      <c r="A68" s="5"/>
      <c r="B68" s="5"/>
      <c r="C68" s="5"/>
      <c r="E68" s="5"/>
      <c r="F68" s="5"/>
      <c r="G68" s="95"/>
      <c r="H68" s="95"/>
      <c r="J68" s="5"/>
      <c r="K68" s="5"/>
      <c r="L68" s="5"/>
      <c r="M68" s="5"/>
      <c r="N68" s="5"/>
      <c r="P68" s="5"/>
      <c r="Q68" s="5"/>
      <c r="R68" s="5"/>
    </row>
    <row r="69" spans="1:18" ht="18" x14ac:dyDescent="0.35">
      <c r="A69" s="8"/>
      <c r="B69" s="8"/>
      <c r="C69" s="5"/>
      <c r="E69" s="5"/>
      <c r="F69" s="5"/>
      <c r="G69" s="95"/>
      <c r="H69" s="95"/>
      <c r="J69" s="5"/>
      <c r="K69" s="5"/>
      <c r="L69" s="5"/>
      <c r="M69" s="5"/>
      <c r="N69" s="5"/>
      <c r="P69" s="5"/>
      <c r="Q69" s="5"/>
      <c r="R69" s="5"/>
    </row>
    <row r="70" spans="1:18" x14ac:dyDescent="0.3">
      <c r="A70" s="9"/>
      <c r="B70" s="9"/>
      <c r="C70" s="9"/>
      <c r="D70" s="93"/>
      <c r="E70" s="9"/>
      <c r="F70" s="9"/>
      <c r="G70" s="95"/>
      <c r="H70" s="95"/>
      <c r="I70" s="97"/>
      <c r="J70" s="11"/>
      <c r="K70" s="11"/>
      <c r="L70" s="9"/>
      <c r="M70" s="9"/>
      <c r="N70" s="9"/>
      <c r="O70" s="93"/>
      <c r="P70" s="9"/>
      <c r="Q70" s="10"/>
      <c r="R70" s="10"/>
    </row>
    <row r="71" spans="1:18" x14ac:dyDescent="0.3">
      <c r="A71" s="9"/>
      <c r="B71" s="9"/>
      <c r="C71" s="5"/>
      <c r="D71" s="94"/>
      <c r="E71" s="6"/>
      <c r="F71" s="12"/>
      <c r="I71" s="96"/>
      <c r="J71" s="12"/>
      <c r="K71" s="12"/>
      <c r="L71" s="16"/>
      <c r="M71" s="16"/>
      <c r="N71" s="6"/>
      <c r="O71" s="94"/>
      <c r="P71" s="6"/>
      <c r="Q71" s="6"/>
      <c r="R71" s="6"/>
    </row>
    <row r="72" spans="1:18" x14ac:dyDescent="0.3">
      <c r="A72" s="5"/>
      <c r="B72" s="5"/>
      <c r="C72" s="5"/>
      <c r="D72" s="94"/>
      <c r="E72" s="6"/>
      <c r="F72" s="6"/>
      <c r="G72" s="96"/>
      <c r="H72" s="96"/>
      <c r="I72" s="96"/>
      <c r="J72" s="12"/>
      <c r="K72" s="12"/>
      <c r="L72" s="16"/>
      <c r="M72" s="16"/>
      <c r="N72" s="6"/>
      <c r="O72" s="94"/>
      <c r="P72" s="6"/>
      <c r="Q72" s="6"/>
      <c r="R72" s="6"/>
    </row>
    <row r="73" spans="1:18" x14ac:dyDescent="0.3">
      <c r="A73" s="5"/>
      <c r="B73" s="5"/>
      <c r="C73" s="5"/>
      <c r="D73" s="94"/>
      <c r="E73" s="6"/>
      <c r="F73" s="6"/>
      <c r="G73" s="96"/>
      <c r="H73" s="96"/>
      <c r="I73" s="96"/>
      <c r="J73" s="12"/>
      <c r="K73" s="12"/>
      <c r="L73" s="16"/>
      <c r="M73" s="16"/>
      <c r="N73" s="6"/>
      <c r="O73" s="94"/>
      <c r="P73" s="6"/>
      <c r="Q73" s="6"/>
      <c r="R73" s="6"/>
    </row>
    <row r="74" spans="1:18" x14ac:dyDescent="0.3">
      <c r="A74" s="5"/>
      <c r="B74" s="5"/>
      <c r="C74" s="5"/>
      <c r="D74" s="94"/>
      <c r="E74" s="6"/>
      <c r="F74" s="6"/>
      <c r="G74" s="96"/>
      <c r="H74" s="96"/>
      <c r="I74" s="96"/>
      <c r="J74" s="12"/>
      <c r="K74" s="12"/>
      <c r="L74" s="16"/>
      <c r="M74" s="16"/>
      <c r="N74" s="6"/>
      <c r="O74" s="94"/>
      <c r="P74" s="6"/>
      <c r="Q74" s="6"/>
      <c r="R74" s="6"/>
    </row>
    <row r="75" spans="1:18" x14ac:dyDescent="0.3">
      <c r="A75" s="5"/>
      <c r="B75" s="5"/>
      <c r="C75" s="5"/>
      <c r="D75" s="94"/>
      <c r="E75" s="6"/>
      <c r="F75" s="6"/>
      <c r="G75" s="96"/>
      <c r="H75" s="96"/>
      <c r="I75" s="96"/>
      <c r="J75" s="12"/>
      <c r="K75" s="12"/>
      <c r="L75" s="16"/>
      <c r="M75" s="16"/>
      <c r="N75" s="6"/>
      <c r="O75" s="94"/>
      <c r="P75" s="6"/>
      <c r="Q75" s="6"/>
      <c r="R75" s="6"/>
    </row>
    <row r="76" spans="1:18" x14ac:dyDescent="0.3">
      <c r="A76" s="5"/>
      <c r="B76" s="5"/>
      <c r="C76" s="5"/>
      <c r="D76" s="94"/>
      <c r="E76" s="6"/>
      <c r="F76" s="6"/>
      <c r="G76" s="96"/>
      <c r="H76" s="96"/>
      <c r="I76" s="96"/>
      <c r="J76" s="12"/>
      <c r="K76" s="12"/>
      <c r="L76" s="16"/>
      <c r="M76" s="16"/>
      <c r="N76" s="6"/>
      <c r="O76" s="94"/>
      <c r="P76" s="6"/>
      <c r="Q76" s="6"/>
      <c r="R76" s="6"/>
    </row>
    <row r="77" spans="1:18" x14ac:dyDescent="0.3">
      <c r="A77" s="5"/>
      <c r="B77" s="5"/>
      <c r="C77" s="5"/>
      <c r="D77" s="94"/>
      <c r="E77" s="6"/>
      <c r="F77" s="6"/>
      <c r="G77" s="96"/>
      <c r="H77" s="96"/>
      <c r="I77" s="96"/>
      <c r="J77" s="12"/>
      <c r="K77" s="12"/>
      <c r="L77" s="16"/>
      <c r="M77" s="16"/>
      <c r="N77" s="6"/>
      <c r="O77" s="94"/>
      <c r="P77" s="6"/>
      <c r="Q77" s="6"/>
      <c r="R77" s="6"/>
    </row>
    <row r="78" spans="1:18" x14ac:dyDescent="0.3">
      <c r="A78" s="5"/>
      <c r="B78" s="5"/>
      <c r="C78" s="5"/>
      <c r="D78" s="94"/>
      <c r="E78" s="6"/>
      <c r="F78" s="6"/>
      <c r="G78" s="96"/>
      <c r="H78" s="96"/>
      <c r="I78" s="96"/>
      <c r="J78" s="12"/>
      <c r="K78" s="12"/>
      <c r="L78" s="16"/>
      <c r="M78" s="16"/>
      <c r="N78" s="6"/>
      <c r="O78" s="94"/>
      <c r="P78" s="6"/>
      <c r="Q78" s="6"/>
      <c r="R78" s="6"/>
    </row>
    <row r="79" spans="1:18" x14ac:dyDescent="0.3">
      <c r="A79" s="5"/>
      <c r="B79" s="5"/>
      <c r="C79" s="5"/>
      <c r="D79" s="94"/>
      <c r="E79" s="6"/>
      <c r="F79" s="6"/>
      <c r="G79" s="96"/>
      <c r="H79" s="96"/>
      <c r="I79" s="96"/>
      <c r="J79" s="12"/>
      <c r="K79" s="12"/>
      <c r="L79" s="16"/>
      <c r="M79" s="16"/>
      <c r="N79" s="6"/>
      <c r="O79" s="94"/>
      <c r="P79" s="6"/>
      <c r="Q79" s="6"/>
      <c r="R79" s="6"/>
    </row>
    <row r="80" spans="1:18" x14ac:dyDescent="0.3">
      <c r="A80" s="5"/>
      <c r="B80" s="5"/>
      <c r="C80" s="5"/>
      <c r="D80" s="94"/>
      <c r="E80" s="6"/>
      <c r="F80" s="6"/>
      <c r="G80" s="96"/>
      <c r="H80" s="96"/>
      <c r="I80" s="96"/>
      <c r="J80" s="12"/>
      <c r="K80" s="12"/>
      <c r="L80" s="16"/>
      <c r="M80" s="16"/>
      <c r="N80" s="6"/>
      <c r="O80" s="94"/>
      <c r="P80" s="6"/>
      <c r="Q80" s="6"/>
      <c r="R80" s="6"/>
    </row>
    <row r="81" spans="1:18" x14ac:dyDescent="0.3">
      <c r="A81" s="5"/>
      <c r="B81" s="5"/>
      <c r="C81" s="5"/>
      <c r="D81" s="94"/>
      <c r="E81" s="6"/>
      <c r="F81" s="6"/>
      <c r="G81" s="96"/>
      <c r="H81" s="96"/>
      <c r="I81" s="96"/>
      <c r="J81" s="12"/>
      <c r="K81" s="12"/>
      <c r="L81" s="16"/>
      <c r="M81" s="16"/>
      <c r="N81" s="6"/>
      <c r="O81" s="94"/>
      <c r="P81" s="6"/>
      <c r="Q81" s="6"/>
      <c r="R81" s="6"/>
    </row>
    <row r="82" spans="1:18" x14ac:dyDescent="0.3">
      <c r="A82" s="5"/>
      <c r="B82" s="5"/>
      <c r="C82" s="5"/>
      <c r="D82" s="94"/>
      <c r="E82" s="6"/>
      <c r="F82" s="6"/>
      <c r="G82" s="96"/>
      <c r="H82" s="96"/>
      <c r="I82" s="96"/>
      <c r="J82" s="12"/>
      <c r="K82" s="12"/>
      <c r="L82" s="16"/>
      <c r="M82" s="16"/>
      <c r="N82" s="6"/>
      <c r="O82" s="94"/>
      <c r="P82" s="6"/>
      <c r="Q82" s="6"/>
      <c r="R82" s="6"/>
    </row>
    <row r="83" spans="1:18" x14ac:dyDescent="0.3">
      <c r="A83" s="5"/>
      <c r="B83" s="5"/>
      <c r="C83" s="5"/>
      <c r="D83" s="94"/>
      <c r="E83" s="6"/>
      <c r="F83" s="6"/>
      <c r="G83" s="96"/>
      <c r="H83" s="96"/>
      <c r="I83" s="96"/>
      <c r="J83" s="12"/>
      <c r="K83" s="12"/>
      <c r="L83" s="16"/>
      <c r="M83" s="16"/>
      <c r="N83" s="6"/>
      <c r="O83" s="94"/>
      <c r="P83" s="6"/>
      <c r="Q83" s="6"/>
      <c r="R83" s="6"/>
    </row>
    <row r="84" spans="1:18" x14ac:dyDescent="0.3">
      <c r="A84" s="5"/>
      <c r="B84" s="5"/>
      <c r="C84" s="5"/>
      <c r="D84" s="94"/>
      <c r="E84" s="6"/>
      <c r="F84" s="6"/>
      <c r="G84" s="96"/>
      <c r="H84" s="96"/>
      <c r="I84" s="96"/>
      <c r="J84" s="12"/>
      <c r="K84" s="12"/>
      <c r="L84" s="16"/>
      <c r="M84" s="16"/>
      <c r="N84" s="6"/>
      <c r="O84" s="94"/>
      <c r="P84" s="6"/>
      <c r="Q84" s="6"/>
      <c r="R84" s="6"/>
    </row>
    <row r="85" spans="1:18" x14ac:dyDescent="0.3">
      <c r="A85" s="5"/>
      <c r="B85" s="5"/>
      <c r="C85" s="5"/>
      <c r="D85" s="94"/>
      <c r="E85" s="6"/>
      <c r="F85" s="6"/>
      <c r="G85" s="96"/>
      <c r="H85" s="96"/>
      <c r="I85" s="96"/>
      <c r="J85" s="12"/>
      <c r="K85" s="12"/>
      <c r="L85" s="16"/>
      <c r="M85" s="16"/>
      <c r="N85" s="6"/>
      <c r="O85" s="94"/>
      <c r="P85" s="6"/>
      <c r="Q85" s="6"/>
      <c r="R85" s="6"/>
    </row>
    <row r="86" spans="1:18" x14ac:dyDescent="0.3">
      <c r="A86" s="5"/>
      <c r="B86" s="5"/>
      <c r="C86" s="5"/>
      <c r="D86" s="94"/>
      <c r="E86" s="6"/>
      <c r="F86" s="6"/>
      <c r="G86" s="96"/>
      <c r="H86" s="96"/>
      <c r="I86" s="96"/>
      <c r="J86" s="12"/>
      <c r="K86" s="12"/>
      <c r="L86" s="16"/>
      <c r="M86" s="16"/>
      <c r="N86" s="6"/>
      <c r="O86" s="94"/>
      <c r="P86" s="6"/>
      <c r="Q86" s="6"/>
      <c r="R86" s="6"/>
    </row>
    <row r="87" spans="1:18" x14ac:dyDescent="0.3">
      <c r="A87" s="5"/>
      <c r="B87" s="5"/>
      <c r="C87" s="5"/>
      <c r="D87" s="94"/>
      <c r="E87" s="6"/>
      <c r="F87" s="6"/>
      <c r="G87" s="96"/>
      <c r="H87" s="96"/>
      <c r="I87" s="96"/>
      <c r="J87" s="12"/>
      <c r="K87" s="12"/>
      <c r="L87" s="16"/>
      <c r="M87" s="16"/>
      <c r="N87" s="6"/>
      <c r="O87" s="94"/>
      <c r="P87" s="6"/>
      <c r="Q87" s="6"/>
      <c r="R87" s="6"/>
    </row>
    <row r="88" spans="1:18" x14ac:dyDescent="0.3">
      <c r="A88" s="5"/>
      <c r="B88" s="5"/>
      <c r="C88" s="5"/>
      <c r="D88" s="94"/>
      <c r="E88" s="6"/>
      <c r="F88" s="6"/>
      <c r="G88" s="96"/>
      <c r="H88" s="96"/>
      <c r="I88" s="96"/>
      <c r="J88" s="12"/>
      <c r="K88" s="12"/>
      <c r="L88" s="16"/>
      <c r="M88" s="16"/>
      <c r="N88" s="6"/>
      <c r="O88" s="94"/>
      <c r="P88" s="6"/>
      <c r="Q88" s="6"/>
      <c r="R88" s="6"/>
    </row>
    <row r="89" spans="1:18" x14ac:dyDescent="0.3">
      <c r="A89" s="5"/>
      <c r="B89" s="5"/>
      <c r="C89" s="5"/>
      <c r="D89" s="94"/>
      <c r="E89" s="6"/>
      <c r="F89" s="6"/>
      <c r="G89" s="96"/>
      <c r="H89" s="96"/>
      <c r="I89" s="96"/>
      <c r="J89" s="12"/>
      <c r="K89" s="12"/>
      <c r="L89" s="16"/>
      <c r="M89" s="16"/>
      <c r="N89" s="6"/>
      <c r="O89" s="94"/>
      <c r="P89" s="6"/>
      <c r="Q89" s="6"/>
      <c r="R89" s="6"/>
    </row>
    <row r="90" spans="1:18" x14ac:dyDescent="0.3">
      <c r="A90" s="5"/>
      <c r="B90" s="5"/>
      <c r="C90" s="5"/>
      <c r="D90" s="94"/>
      <c r="E90" s="6"/>
      <c r="F90" s="6"/>
      <c r="G90" s="96"/>
      <c r="H90" s="96"/>
      <c r="I90" s="96"/>
      <c r="J90" s="12"/>
      <c r="K90" s="12"/>
      <c r="L90" s="16"/>
      <c r="M90" s="16"/>
      <c r="N90" s="6"/>
      <c r="O90" s="94"/>
      <c r="P90" s="6"/>
      <c r="Q90" s="6"/>
      <c r="R90" s="6"/>
    </row>
    <row r="91" spans="1:18" x14ac:dyDescent="0.3">
      <c r="A91" s="5"/>
      <c r="B91" s="5"/>
      <c r="C91" s="5"/>
      <c r="D91" s="94"/>
      <c r="E91" s="6"/>
      <c r="F91" s="6"/>
      <c r="G91" s="96"/>
      <c r="H91" s="96"/>
      <c r="I91" s="96"/>
      <c r="J91" s="12"/>
      <c r="K91" s="12"/>
      <c r="L91" s="16"/>
      <c r="M91" s="16"/>
      <c r="N91" s="6"/>
      <c r="O91" s="94"/>
      <c r="P91" s="6"/>
      <c r="Q91" s="6"/>
      <c r="R91" s="6"/>
    </row>
    <row r="92" spans="1:18" x14ac:dyDescent="0.3">
      <c r="A92" s="5"/>
      <c r="B92" s="5"/>
      <c r="C92" s="5"/>
      <c r="D92" s="94"/>
      <c r="E92" s="6"/>
      <c r="F92" s="6"/>
      <c r="G92" s="96"/>
      <c r="H92" s="96"/>
      <c r="I92" s="96"/>
      <c r="J92" s="12"/>
      <c r="K92" s="12"/>
      <c r="L92" s="16"/>
      <c r="M92" s="16"/>
      <c r="N92" s="6"/>
      <c r="O92" s="94"/>
      <c r="P92" s="6"/>
      <c r="Q92" s="6"/>
      <c r="R92" s="6"/>
    </row>
    <row r="93" spans="1:18" x14ac:dyDescent="0.3">
      <c r="A93" s="5"/>
      <c r="B93" s="5"/>
      <c r="C93" s="5"/>
      <c r="D93" s="94"/>
      <c r="E93" s="6"/>
      <c r="F93" s="6"/>
      <c r="G93" s="96"/>
      <c r="H93" s="96"/>
      <c r="I93" s="96"/>
      <c r="J93" s="12"/>
      <c r="K93" s="12"/>
      <c r="L93" s="16"/>
      <c r="M93" s="16"/>
      <c r="N93" s="6"/>
      <c r="O93" s="94"/>
      <c r="P93" s="6"/>
      <c r="Q93" s="6"/>
      <c r="R93" s="6"/>
    </row>
    <row r="94" spans="1:18" x14ac:dyDescent="0.3">
      <c r="A94" s="5"/>
      <c r="B94" s="5"/>
      <c r="C94" s="5"/>
      <c r="D94" s="94"/>
      <c r="E94" s="6"/>
      <c r="F94" s="6"/>
      <c r="G94" s="96"/>
      <c r="H94" s="96"/>
      <c r="I94" s="96"/>
      <c r="J94" s="12"/>
      <c r="K94" s="12"/>
      <c r="L94" s="16"/>
      <c r="M94" s="16"/>
      <c r="N94" s="6"/>
      <c r="O94" s="94"/>
      <c r="P94" s="6"/>
      <c r="Q94" s="6"/>
      <c r="R94" s="6"/>
    </row>
    <row r="95" spans="1:18" x14ac:dyDescent="0.3">
      <c r="A95" s="5"/>
      <c r="B95" s="5"/>
      <c r="C95" s="5"/>
      <c r="D95" s="94"/>
      <c r="E95" s="6"/>
      <c r="F95" s="6"/>
      <c r="G95" s="96"/>
      <c r="H95" s="96"/>
      <c r="I95" s="96"/>
      <c r="J95" s="12"/>
      <c r="K95" s="12"/>
      <c r="L95" s="16"/>
      <c r="M95" s="16"/>
      <c r="N95" s="6"/>
      <c r="O95" s="94"/>
      <c r="P95" s="6"/>
      <c r="Q95" s="6"/>
      <c r="R95" s="6"/>
    </row>
    <row r="96" spans="1:18" x14ac:dyDescent="0.3">
      <c r="A96" s="5"/>
      <c r="B96" s="5"/>
      <c r="C96" s="5"/>
      <c r="D96" s="94"/>
      <c r="E96" s="6"/>
      <c r="F96" s="6"/>
      <c r="G96" s="96"/>
      <c r="H96" s="96"/>
      <c r="I96" s="96"/>
      <c r="J96" s="12"/>
      <c r="K96" s="12"/>
      <c r="L96" s="16"/>
      <c r="M96" s="16"/>
      <c r="N96" s="6"/>
      <c r="O96" s="94"/>
      <c r="P96" s="6"/>
      <c r="Q96" s="6"/>
      <c r="R96" s="6"/>
    </row>
    <row r="97" spans="1:18" x14ac:dyDescent="0.3">
      <c r="A97" s="5"/>
      <c r="B97" s="5"/>
      <c r="C97" s="5"/>
      <c r="D97" s="94"/>
      <c r="E97" s="6"/>
      <c r="F97" s="6"/>
      <c r="G97" s="96"/>
      <c r="H97" s="96"/>
      <c r="I97" s="96"/>
      <c r="J97" s="12"/>
      <c r="K97" s="12"/>
      <c r="L97" s="16"/>
      <c r="M97" s="16"/>
      <c r="N97" s="6"/>
      <c r="O97" s="94"/>
      <c r="P97" s="6"/>
      <c r="Q97" s="6"/>
      <c r="R97" s="6"/>
    </row>
    <row r="98" spans="1:18" x14ac:dyDescent="0.3">
      <c r="A98" s="5"/>
      <c r="B98" s="5"/>
      <c r="C98" s="5"/>
      <c r="D98" s="94"/>
      <c r="E98" s="6"/>
      <c r="F98" s="6"/>
      <c r="G98" s="96"/>
      <c r="H98" s="96"/>
      <c r="I98" s="96"/>
      <c r="J98" s="12"/>
      <c r="K98" s="12"/>
      <c r="L98" s="16"/>
      <c r="M98" s="16"/>
      <c r="N98" s="6"/>
      <c r="O98" s="94"/>
      <c r="P98" s="6"/>
      <c r="Q98" s="6"/>
      <c r="R98" s="6"/>
    </row>
    <row r="99" spans="1:18" x14ac:dyDescent="0.3">
      <c r="A99" s="5"/>
      <c r="B99" s="5"/>
      <c r="C99" s="5"/>
      <c r="D99" s="94"/>
      <c r="E99" s="6"/>
      <c r="F99" s="6"/>
      <c r="G99" s="96"/>
      <c r="H99" s="96"/>
      <c r="I99" s="96"/>
      <c r="J99" s="12"/>
      <c r="K99" s="12"/>
      <c r="L99" s="16"/>
      <c r="M99" s="16"/>
      <c r="N99" s="6"/>
      <c r="O99" s="94"/>
      <c r="P99" s="6"/>
      <c r="Q99" s="6"/>
      <c r="R99" s="6"/>
    </row>
    <row r="100" spans="1:18" x14ac:dyDescent="0.3">
      <c r="A100" s="5"/>
      <c r="B100" s="5"/>
      <c r="C100" s="5"/>
      <c r="D100" s="94"/>
      <c r="E100" s="6"/>
      <c r="F100" s="6"/>
      <c r="G100" s="96"/>
      <c r="H100" s="96"/>
      <c r="I100" s="96"/>
      <c r="J100" s="12"/>
      <c r="K100" s="12"/>
      <c r="L100" s="16"/>
      <c r="M100" s="16"/>
      <c r="N100" s="6"/>
      <c r="O100" s="94"/>
      <c r="P100" s="6"/>
      <c r="Q100" s="6"/>
      <c r="R100" s="6"/>
    </row>
    <row r="101" spans="1:18" x14ac:dyDescent="0.3">
      <c r="A101" s="5"/>
      <c r="B101" s="5"/>
      <c r="C101" s="5"/>
      <c r="D101" s="94"/>
      <c r="E101" s="6"/>
      <c r="F101" s="6"/>
      <c r="G101" s="96"/>
      <c r="H101" s="96"/>
      <c r="I101" s="96"/>
      <c r="J101" s="12"/>
      <c r="K101" s="12"/>
      <c r="L101" s="16"/>
      <c r="M101" s="16"/>
      <c r="N101" s="6"/>
      <c r="O101" s="94"/>
      <c r="P101" s="6"/>
      <c r="Q101" s="6"/>
      <c r="R101" s="6"/>
    </row>
    <row r="102" spans="1:18" x14ac:dyDescent="0.3">
      <c r="A102" s="5"/>
      <c r="B102" s="5"/>
      <c r="C102" s="5"/>
      <c r="E102" s="5"/>
      <c r="F102" s="5"/>
      <c r="J102" s="5"/>
      <c r="K102" s="5"/>
      <c r="L102" s="5"/>
      <c r="M102" s="5"/>
      <c r="N102" s="5"/>
      <c r="P102" s="5"/>
      <c r="Q102" s="5"/>
      <c r="R102" s="5"/>
    </row>
    <row r="103" spans="1:18" x14ac:dyDescent="0.3">
      <c r="A103" s="5"/>
      <c r="B103" s="5"/>
      <c r="C103" s="5"/>
      <c r="E103" s="5"/>
      <c r="F103" s="5"/>
      <c r="J103" s="5"/>
      <c r="K103" s="5"/>
      <c r="L103" s="5"/>
      <c r="M103" s="5"/>
      <c r="N103" s="5"/>
      <c r="P103" s="5"/>
      <c r="Q103" s="5"/>
      <c r="R103" s="5"/>
    </row>
    <row r="104" spans="1:18" x14ac:dyDescent="0.3">
      <c r="A104" s="5"/>
      <c r="B104" s="5"/>
      <c r="C104" s="5"/>
      <c r="E104" s="5"/>
      <c r="F104" s="5"/>
      <c r="J104" s="5"/>
      <c r="K104" s="5"/>
      <c r="L104" s="5"/>
      <c r="M104" s="5"/>
      <c r="N104" s="5"/>
      <c r="P104" s="5"/>
      <c r="Q104" s="5"/>
      <c r="R104" s="5"/>
    </row>
    <row r="105" spans="1:18" x14ac:dyDescent="0.3">
      <c r="A105" s="5"/>
      <c r="B105" s="5"/>
      <c r="C105" s="5"/>
      <c r="E105" s="5"/>
      <c r="F105" s="5"/>
      <c r="J105" s="5"/>
      <c r="K105" s="5"/>
      <c r="L105" s="5"/>
      <c r="M105" s="5"/>
      <c r="N105" s="5"/>
      <c r="P105" s="5"/>
      <c r="Q105" s="5"/>
      <c r="R10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EFC7E-7111-472A-93D7-751D2B8FC8C6}">
  <dimension ref="A1:AA105"/>
  <sheetViews>
    <sheetView topLeftCell="K4" zoomScale="70" zoomScaleNormal="70" workbookViewId="0">
      <selection activeCell="AA3" sqref="AA3:AA33"/>
    </sheetView>
  </sheetViews>
  <sheetFormatPr defaultRowHeight="14.4" x14ac:dyDescent="0.3"/>
  <cols>
    <col min="1" max="1" width="9.77734375" bestFit="1" customWidth="1"/>
    <col min="2" max="2" width="9.77734375" customWidth="1"/>
    <col min="4" max="5" width="18.44140625" customWidth="1"/>
    <col min="6" max="6" width="23" customWidth="1"/>
    <col min="7" max="9" width="13.44140625" customWidth="1"/>
    <col min="10" max="11" width="18.33203125" customWidth="1"/>
    <col min="12" max="12" width="16.6640625" bestFit="1" customWidth="1"/>
    <col min="13" max="13" width="16.6640625" customWidth="1"/>
    <col min="14" max="14" width="18.21875" bestFit="1" customWidth="1"/>
    <col min="15" max="16" width="18.21875" customWidth="1"/>
    <col min="17" max="18" width="21.77734375" customWidth="1"/>
    <col min="19" max="19" width="18.88671875" bestFit="1" customWidth="1"/>
    <col min="20" max="20" width="20.109375" bestFit="1" customWidth="1"/>
    <col min="21" max="21" width="20.77734375" bestFit="1" customWidth="1"/>
    <col min="22" max="22" width="17.44140625" bestFit="1" customWidth="1"/>
    <col min="23" max="23" width="17.44140625" customWidth="1"/>
    <col min="24" max="24" width="15" bestFit="1" customWidth="1"/>
    <col min="25" max="25" width="13.33203125" bestFit="1" customWidth="1"/>
    <col min="26" max="26" width="13.5546875" bestFit="1" customWidth="1"/>
  </cols>
  <sheetData>
    <row r="1" spans="1:27" s="39" customFormat="1" ht="78" x14ac:dyDescent="0.3">
      <c r="A1" s="35" t="s">
        <v>0</v>
      </c>
      <c r="B1" s="35" t="s">
        <v>7</v>
      </c>
      <c r="C1" s="35" t="s">
        <v>1</v>
      </c>
      <c r="D1" s="35" t="s">
        <v>2</v>
      </c>
      <c r="E1" s="35" t="s">
        <v>94</v>
      </c>
      <c r="F1" s="35" t="s">
        <v>6</v>
      </c>
      <c r="G1" s="35" t="s">
        <v>26</v>
      </c>
      <c r="H1" s="35" t="s">
        <v>119</v>
      </c>
      <c r="I1" s="35" t="s">
        <v>91</v>
      </c>
      <c r="J1" s="35" t="s">
        <v>8</v>
      </c>
      <c r="K1" s="35" t="s">
        <v>102</v>
      </c>
      <c r="L1" s="35" t="s">
        <v>27</v>
      </c>
      <c r="M1" s="35" t="s">
        <v>13</v>
      </c>
      <c r="N1" s="35" t="s">
        <v>15</v>
      </c>
      <c r="O1" s="35" t="s">
        <v>14</v>
      </c>
      <c r="P1" s="36" t="s">
        <v>3</v>
      </c>
      <c r="Q1" s="36" t="s">
        <v>9</v>
      </c>
      <c r="R1" s="36" t="s">
        <v>125</v>
      </c>
      <c r="S1" s="36" t="s">
        <v>16</v>
      </c>
      <c r="T1" s="36" t="s">
        <v>10</v>
      </c>
      <c r="U1" s="36" t="s">
        <v>11</v>
      </c>
      <c r="V1" s="36" t="s">
        <v>17</v>
      </c>
      <c r="W1" s="36" t="s">
        <v>130</v>
      </c>
      <c r="X1" s="36" t="s">
        <v>28</v>
      </c>
      <c r="Y1" s="39" t="s">
        <v>127</v>
      </c>
      <c r="Z1" s="39" t="s">
        <v>136</v>
      </c>
      <c r="AA1" s="39" t="s">
        <v>147</v>
      </c>
    </row>
    <row r="2" spans="1:27" s="39" customFormat="1" ht="15.6" x14ac:dyDescent="0.3">
      <c r="A2" s="35"/>
      <c r="B2" s="35"/>
      <c r="C2" s="35"/>
      <c r="D2" s="92">
        <f>Input_values!B3</f>
        <v>253814184</v>
      </c>
      <c r="E2" s="35"/>
      <c r="F2" s="35"/>
      <c r="G2" s="35"/>
      <c r="H2" s="35"/>
      <c r="I2" s="35"/>
      <c r="J2" s="35"/>
      <c r="K2" s="35"/>
      <c r="L2" s="35"/>
      <c r="M2" s="35"/>
      <c r="N2" s="35"/>
      <c r="O2" s="35"/>
      <c r="P2" s="36"/>
      <c r="Q2" s="36"/>
      <c r="R2" s="36"/>
      <c r="S2" s="36"/>
      <c r="T2" s="36"/>
      <c r="U2" s="36"/>
      <c r="V2" s="36"/>
      <c r="W2" s="36"/>
      <c r="X2" s="36"/>
    </row>
    <row r="3" spans="1:27" x14ac:dyDescent="0.3">
      <c r="A3" s="2">
        <v>0</v>
      </c>
      <c r="B3" s="2">
        <v>0</v>
      </c>
      <c r="C3" s="1">
        <v>2020</v>
      </c>
      <c r="D3" s="7">
        <f>$D$2*(1+Input_values!$B$4)^(A3)</f>
        <v>253814184</v>
      </c>
      <c r="E3" s="3">
        <f>F3/G3</f>
        <v>2.2810420439861406E-2</v>
      </c>
      <c r="F3" s="33">
        <f>Input_values!$B$2</f>
        <v>328000</v>
      </c>
      <c r="G3" s="33">
        <f>Input_values!G44</f>
        <v>14379393</v>
      </c>
      <c r="H3" s="112">
        <f>G3/D3</f>
        <v>5.6653228646985306E-2</v>
      </c>
      <c r="I3" s="33">
        <v>0</v>
      </c>
      <c r="J3" s="34">
        <f>Input_values!$B$12</f>
        <v>1019260</v>
      </c>
      <c r="K3" s="34">
        <f t="shared" ref="K3:K33" si="0">IF(AND(E3&gt;J3, I3&gt;G3),E3,J3)</f>
        <v>1019260</v>
      </c>
      <c r="L3" s="25">
        <f>J3/D2</f>
        <v>4.0157724203466897E-3</v>
      </c>
      <c r="M3" s="7">
        <f t="shared" ref="M3:M33" si="1">(1-E3)*G3</f>
        <v>14051393</v>
      </c>
      <c r="N3" s="17">
        <f>1-L3</f>
        <v>0.99598422757965333</v>
      </c>
      <c r="O3" s="34">
        <f t="shared" ref="O3:O33" si="2">D3-J3</f>
        <v>252794924</v>
      </c>
      <c r="P3" s="7">
        <f>O3*(Input_values!$B$7*(1+Input_values!$B$8)^A3)/(Input_values!$B$13*(1+Input_values!$B$14)^A3)</f>
        <v>128863303920.66231</v>
      </c>
      <c r="Q3" s="7">
        <f>P3*Input_values!$B$10</f>
        <v>1145208181.9429259</v>
      </c>
      <c r="R3" s="17">
        <f>Input_values!L37+Input_values!N37</f>
        <v>0.39594273119481199</v>
      </c>
      <c r="S3" s="32">
        <f>J3*Input_values!$B$7</f>
        <v>11742331393.031998</v>
      </c>
      <c r="T3" s="7">
        <f>S3*Input_values!$B$11</f>
        <v>3405276103.979279</v>
      </c>
      <c r="U3" s="7">
        <f>T3*(1-R3)</f>
        <v>2056981782.8972945</v>
      </c>
      <c r="V3" s="7">
        <f>U3*0.00045*model_energy_weight_us_ca!J14</f>
        <v>1238424.5155587504</v>
      </c>
      <c r="W3" s="7">
        <f>P3*Input_values!$B$18</f>
        <v>174019765.35097933</v>
      </c>
      <c r="X3" s="7">
        <f>V3+Q3+W3</f>
        <v>1320466371.809464</v>
      </c>
      <c r="Y3" s="32">
        <f>Input_values!$G$16/2</f>
        <v>697616532.42611539</v>
      </c>
      <c r="Z3" s="142">
        <f>Input_values!$G$16</f>
        <v>1395233064.8522308</v>
      </c>
      <c r="AA3">
        <v>1320466371.809464</v>
      </c>
    </row>
    <row r="4" spans="1:27" x14ac:dyDescent="0.3">
      <c r="A4" s="1">
        <v>1</v>
      </c>
      <c r="B4" s="2">
        <v>0</v>
      </c>
      <c r="C4" s="1">
        <f t="shared" ref="C4:C22" si="3">C3+1</f>
        <v>2021</v>
      </c>
      <c r="D4" s="7">
        <f>$D$2*(1+Input_values!$B$4)^(A4)</f>
        <v>255844697.472</v>
      </c>
      <c r="E4" s="3">
        <v>0.04</v>
      </c>
      <c r="F4" s="7">
        <f>E4*G4</f>
        <v>617097.41030246392</v>
      </c>
      <c r="G4" s="33">
        <f>D4*Input_values!$B$5*((1+Input_values!$B$6)^A4)</f>
        <v>15427435.257561598</v>
      </c>
      <c r="H4" s="112">
        <f t="shared" ref="H4:H33" si="4">G4/D4</f>
        <v>6.0299999999999992E-2</v>
      </c>
      <c r="I4" s="33">
        <v>0</v>
      </c>
      <c r="J4" s="34">
        <f>IF(F4+J3-I4&gt;D4,D4,F4+J3-I4)</f>
        <v>1636357.4103024639</v>
      </c>
      <c r="K4" s="34">
        <f t="shared" si="0"/>
        <v>1636357.4103024639</v>
      </c>
      <c r="L4" s="25">
        <f t="shared" ref="L4:L33" si="5">J4/D4</f>
        <v>6.3959012106613979E-3</v>
      </c>
      <c r="M4" s="7">
        <f t="shared" si="1"/>
        <v>14810337.847259134</v>
      </c>
      <c r="N4" s="17">
        <f>1-L4</f>
        <v>0.99360409878933864</v>
      </c>
      <c r="O4" s="34">
        <f t="shared" si="2"/>
        <v>254208340.06169754</v>
      </c>
      <c r="P4" s="7">
        <f>O4*(Input_values!$B$7*(1+Input_values!$B$8)^A4)/(Input_values!$B$13*(1+Input_values!$B$14)^A4)</f>
        <v>128504362217.73738</v>
      </c>
      <c r="Q4" s="7">
        <f>P4*Input_values!$B$10</f>
        <v>1142018267.0290322</v>
      </c>
      <c r="R4" s="17">
        <f>Input_values!L38+Input_values!N38</f>
        <v>0.45763454960782129</v>
      </c>
      <c r="S4" s="32">
        <f>J4*Input_values!$B$7</f>
        <v>18851569755.719997</v>
      </c>
      <c r="T4" s="7">
        <f>S4*Input_values!$B$11</f>
        <v>5466955229.1587992</v>
      </c>
      <c r="U4" s="7">
        <f t="shared" ref="U4:U33" si="6">T4*(1-R4)</f>
        <v>2965087635.1365886</v>
      </c>
      <c r="V4" s="7">
        <f>U4*0.00045*model_energy_weight_us_ca!J15</f>
        <v>1914453.3562906606</v>
      </c>
      <c r="W4" s="7">
        <f>P4*Input_values!$B$18</f>
        <v>173535042.78825399</v>
      </c>
      <c r="X4" s="7">
        <f t="shared" ref="X4:X33" si="7">V4+Q4+W4</f>
        <v>1317467763.1735768</v>
      </c>
      <c r="Y4" s="32">
        <f>Input_values!$G$16/2</f>
        <v>697616532.42611539</v>
      </c>
      <c r="Z4" s="142">
        <f>Input_values!$G$16</f>
        <v>1395233064.8522308</v>
      </c>
      <c r="AA4">
        <v>1306343123.582202</v>
      </c>
    </row>
    <row r="5" spans="1:27" x14ac:dyDescent="0.3">
      <c r="A5" s="1">
        <f t="shared" ref="A5:A22" si="8">A4+1</f>
        <v>2</v>
      </c>
      <c r="B5" s="2">
        <v>0</v>
      </c>
      <c r="C5" s="1">
        <f t="shared" si="3"/>
        <v>2022</v>
      </c>
      <c r="D5" s="7">
        <f>$D$2*(1+Input_values!$B$4)^(A5)</f>
        <v>257891455.05177602</v>
      </c>
      <c r="E5" s="3">
        <v>0.05</v>
      </c>
      <c r="F5" s="7">
        <f t="shared" ref="F5:F33" si="9">E5*G5</f>
        <v>781430.45066601003</v>
      </c>
      <c r="G5" s="33">
        <f>D5*Input_values!$B$5*((1+Input_values!$B$6)^A5)</f>
        <v>15628609.0133202</v>
      </c>
      <c r="H5" s="112">
        <f t="shared" si="4"/>
        <v>6.0601499999999982E-2</v>
      </c>
      <c r="I5" s="33">
        <v>0</v>
      </c>
      <c r="J5" s="34">
        <f t="shared" ref="J5:J33" si="10">IF(F5+J4-I5&gt;D5,D5,F5+J4-I5)</f>
        <v>2417787.8609684738</v>
      </c>
      <c r="K5" s="34">
        <f t="shared" si="0"/>
        <v>2417787.8609684738</v>
      </c>
      <c r="L5" s="25">
        <f t="shared" si="5"/>
        <v>9.3752150899418622E-3</v>
      </c>
      <c r="M5" s="7">
        <f t="shared" si="1"/>
        <v>14847178.56265419</v>
      </c>
      <c r="N5" s="17">
        <f t="shared" ref="N5:N33" si="11">1-L5</f>
        <v>0.99062478491005812</v>
      </c>
      <c r="O5" s="34">
        <f t="shared" si="2"/>
        <v>255473667.19080755</v>
      </c>
      <c r="P5" s="7">
        <f>O5*(Input_values!$B$7*(1+Input_values!$B$8)^A5)/(Input_values!$B$13*(1+Input_values!$B$14)^A5)</f>
        <v>128068222200.59926</v>
      </c>
      <c r="Q5" s="7">
        <f>P5*Input_values!$B$10</f>
        <v>1138142290.6967256</v>
      </c>
      <c r="R5" s="17">
        <f>Input_values!L39+Input_values!N39</f>
        <v>0.4736762396692461</v>
      </c>
      <c r="S5" s="32">
        <f>J5*Input_values!$B$7</f>
        <v>27853998294.391808</v>
      </c>
      <c r="T5" s="7">
        <f>S5*Input_values!$B$11</f>
        <v>8077659505.3736238</v>
      </c>
      <c r="U5" s="7">
        <f t="shared" si="6"/>
        <v>4251464125.5397034</v>
      </c>
      <c r="V5" s="7">
        <f>U5*0.00045*model_energy_weight_us_ca!J16</f>
        <v>2774549.9811044135</v>
      </c>
      <c r="W5" s="7">
        <f>P5*Input_values!$B$18</f>
        <v>172946069.96873608</v>
      </c>
      <c r="X5" s="7">
        <f t="shared" si="7"/>
        <v>1313862910.6465662</v>
      </c>
      <c r="Y5" s="32">
        <f>Input_values!$G$16/2</f>
        <v>697616532.42611539</v>
      </c>
      <c r="Z5" s="142">
        <f>Input_values!$G$16</f>
        <v>1395233064.8522308</v>
      </c>
      <c r="AA5">
        <v>1291782898.2467923</v>
      </c>
    </row>
    <row r="6" spans="1:27" x14ac:dyDescent="0.3">
      <c r="A6" s="1">
        <f t="shared" si="8"/>
        <v>3</v>
      </c>
      <c r="B6" s="2">
        <v>0</v>
      </c>
      <c r="C6" s="1">
        <f t="shared" si="3"/>
        <v>2023</v>
      </c>
      <c r="D6" s="7">
        <f>$D$2*(1+Input_values!$B$4)^(A6)</f>
        <v>259954586.69219026</v>
      </c>
      <c r="E6" s="3">
        <v>0.06</v>
      </c>
      <c r="F6" s="7">
        <f t="shared" si="9"/>
        <v>949944.36449123383</v>
      </c>
      <c r="G6" s="33">
        <f>D6*Input_values!$B$5*((1+Input_values!$B$6)^A6)</f>
        <v>15832406.074853897</v>
      </c>
      <c r="H6" s="112">
        <f t="shared" si="4"/>
        <v>6.0904507499999982E-2</v>
      </c>
      <c r="I6" s="33">
        <v>0</v>
      </c>
      <c r="J6" s="34">
        <f t="shared" si="10"/>
        <v>3367732.2254597079</v>
      </c>
      <c r="K6" s="34">
        <f t="shared" si="0"/>
        <v>3367732.2254597079</v>
      </c>
      <c r="L6" s="25">
        <f t="shared" si="5"/>
        <v>1.2955079070974068E-2</v>
      </c>
      <c r="M6" s="7">
        <f t="shared" si="1"/>
        <v>14882461.710362662</v>
      </c>
      <c r="N6" s="17">
        <f t="shared" si="11"/>
        <v>0.98704492092902596</v>
      </c>
      <c r="O6" s="34">
        <f t="shared" si="2"/>
        <v>256586854.46673056</v>
      </c>
      <c r="P6" s="7">
        <f>O6*(Input_values!$B$7*(1+Input_values!$B$8)^A6)/(Input_values!$B$13*(1+Input_values!$B$14)^A6)</f>
        <v>127554799497.74103</v>
      </c>
      <c r="Q6" s="7">
        <f>P6*Input_values!$B$10</f>
        <v>1133579503.1364245</v>
      </c>
      <c r="R6" s="17">
        <f>Input_values!L40+Input_values!N40</f>
        <v>0.46268504053921089</v>
      </c>
      <c r="S6" s="32">
        <f>J6*Input_values!$B$7</f>
        <v>38797782542.571121</v>
      </c>
      <c r="T6" s="7">
        <f>S6*Input_values!$B$11</f>
        <v>11251356937.345625</v>
      </c>
      <c r="U6" s="7">
        <f t="shared" si="6"/>
        <v>6045522396.6687326</v>
      </c>
      <c r="V6" s="7">
        <f>U6*0.00045*model_energy_weight_us_ca!J17</f>
        <v>3802211.9216482011</v>
      </c>
      <c r="W6" s="7">
        <f>P6*Input_values!$B$18</f>
        <v>172252732.95533571</v>
      </c>
      <c r="X6" s="7">
        <f t="shared" si="7"/>
        <v>1309634448.0134084</v>
      </c>
      <c r="Y6" s="32">
        <f>Input_values!$G$16/2</f>
        <v>697616532.42611539</v>
      </c>
      <c r="Z6" s="142">
        <f>Input_values!$G$16</f>
        <v>1395233064.8522308</v>
      </c>
      <c r="AA6">
        <v>1276786483.5161295</v>
      </c>
    </row>
    <row r="7" spans="1:27" x14ac:dyDescent="0.3">
      <c r="A7" s="1">
        <f t="shared" si="8"/>
        <v>4</v>
      </c>
      <c r="B7" s="2">
        <v>0</v>
      </c>
      <c r="C7" s="1">
        <f t="shared" si="3"/>
        <v>2024</v>
      </c>
      <c r="D7" s="7">
        <f>$D$2*(1+Input_values!$B$4)^(A7)</f>
        <v>262034223.38572779</v>
      </c>
      <c r="E7" s="3">
        <v>7.4999999999999997E-2</v>
      </c>
      <c r="F7" s="7">
        <f t="shared" si="9"/>
        <v>1202914.5487552488</v>
      </c>
      <c r="G7" s="33">
        <f>D7*Input_values!$B$5*((1+Input_values!$B$6)^A7)</f>
        <v>16038860.650069986</v>
      </c>
      <c r="H7" s="112">
        <f t="shared" si="4"/>
        <v>6.1209030037499952E-2</v>
      </c>
      <c r="I7" s="33">
        <v>0</v>
      </c>
      <c r="J7" s="34">
        <f t="shared" si="10"/>
        <v>4570646.7742149569</v>
      </c>
      <c r="K7" s="34">
        <f t="shared" si="0"/>
        <v>4570646.7742149569</v>
      </c>
      <c r="L7" s="25">
        <f t="shared" si="5"/>
        <v>1.744293823592169E-2</v>
      </c>
      <c r="M7" s="7">
        <f t="shared" si="1"/>
        <v>14835946.101314737</v>
      </c>
      <c r="N7" s="17">
        <f>1-L7</f>
        <v>0.98255706176407831</v>
      </c>
      <c r="O7" s="34">
        <f t="shared" si="2"/>
        <v>257463576.61151284</v>
      </c>
      <c r="P7" s="7">
        <f>O7*(Input_values!$B$7*(1+Input_values!$B$8)^A7)/(Input_values!$B$13*(1+Input_values!$B$14)^A7)</f>
        <v>126924471222.04189</v>
      </c>
      <c r="Q7" s="7">
        <f>P7*Input_values!$B$10</f>
        <v>1127977775.7502863</v>
      </c>
      <c r="R7" s="17">
        <f>Input_values!L41+Input_values!N41</f>
        <v>0.47058157909899778</v>
      </c>
      <c r="S7" s="32">
        <f>J7*Input_values!$B$7</f>
        <v>52655896536.040581</v>
      </c>
      <c r="T7" s="7">
        <f>S7*Input_values!$B$11</f>
        <v>15270209995.451767</v>
      </c>
      <c r="U7" s="7">
        <f t="shared" si="6"/>
        <v>8084330462.6187744</v>
      </c>
      <c r="V7" s="7">
        <f>U7*0.00045*model_energy_weight_us_ca!J18</f>
        <v>4973769.262155829</v>
      </c>
      <c r="W7" s="7">
        <f>P7*Input_values!$B$18</f>
        <v>171401524.15272123</v>
      </c>
      <c r="X7" s="7">
        <f t="shared" si="7"/>
        <v>1304353069.1651633</v>
      </c>
      <c r="Y7" s="32">
        <f>Input_values!$G$16/2</f>
        <v>697616532.42611539</v>
      </c>
      <c r="Z7" s="142">
        <f>Input_values!$G$16</f>
        <v>1395233064.8522308</v>
      </c>
      <c r="AA7">
        <v>1260955956.6057322</v>
      </c>
    </row>
    <row r="8" spans="1:27" x14ac:dyDescent="0.3">
      <c r="A8" s="1">
        <f t="shared" si="8"/>
        <v>5</v>
      </c>
      <c r="B8" s="2">
        <v>0</v>
      </c>
      <c r="C8" s="1">
        <f t="shared" si="3"/>
        <v>2025</v>
      </c>
      <c r="D8" s="7">
        <f>$D$2*(1+Input_values!$B$4)^(A8)</f>
        <v>264130497.17281359</v>
      </c>
      <c r="E8" s="3">
        <v>0.11</v>
      </c>
      <c r="F8" s="7">
        <f t="shared" si="9"/>
        <v>1787280.8132241585</v>
      </c>
      <c r="G8" s="33">
        <f>D8*Input_values!$B$5*((1+Input_values!$B$6)^A8)</f>
        <v>16248007.392946895</v>
      </c>
      <c r="H8" s="112">
        <f t="shared" si="4"/>
        <v>6.1515075187687451E-2</v>
      </c>
      <c r="I8" s="33">
        <v>0</v>
      </c>
      <c r="J8" s="34">
        <f t="shared" si="10"/>
        <v>6357927.5874391152</v>
      </c>
      <c r="K8" s="34">
        <f t="shared" si="0"/>
        <v>6357927.5874391152</v>
      </c>
      <c r="L8" s="25">
        <f t="shared" si="5"/>
        <v>2.4071160488821901E-2</v>
      </c>
      <c r="M8" s="7">
        <f t="shared" si="1"/>
        <v>14460726.579722736</v>
      </c>
      <c r="N8" s="17">
        <f t="shared" si="11"/>
        <v>0.97592883951117815</v>
      </c>
      <c r="O8" s="34">
        <f t="shared" si="2"/>
        <v>257772569.58537447</v>
      </c>
      <c r="P8" s="7">
        <f>O8*(Input_values!$B$7*(1+Input_values!$B$8)^A8)/(Input_values!$B$13*(1+Input_values!$B$14)^A8)</f>
        <v>126018245409.53601</v>
      </c>
      <c r="Q8" s="7">
        <f>P8*Input_values!$B$10</f>
        <v>1119924146.9545467</v>
      </c>
      <c r="R8" s="17">
        <f>Input_values!L42+Input_values!N42</f>
        <v>0.46434375491984081</v>
      </c>
      <c r="S8" s="32">
        <f>J8*Input_values!$B$7</f>
        <v>73246171442.625549</v>
      </c>
      <c r="T8" s="7">
        <f>S8*Input_values!$B$11</f>
        <v>21241389718.361408</v>
      </c>
      <c r="U8" s="7">
        <f t="shared" si="6"/>
        <v>11378083056.821772</v>
      </c>
      <c r="V8" s="7">
        <f>U8*0.00045*model_energy_weight_us_ca!J19</f>
        <v>6792214.6127950102</v>
      </c>
      <c r="W8" s="7">
        <f>P8*Input_values!$B$18</f>
        <v>170177737.4077813</v>
      </c>
      <c r="X8" s="7">
        <f t="shared" si="7"/>
        <v>1296894098.9751232</v>
      </c>
      <c r="Y8" s="32">
        <f>Input_values!$G$16/2</f>
        <v>697616532.42611539</v>
      </c>
      <c r="Z8" s="142">
        <f>Input_values!$G$16</f>
        <v>1395233064.8522308</v>
      </c>
      <c r="AA8">
        <v>1243261776.966284</v>
      </c>
    </row>
    <row r="9" spans="1:27" x14ac:dyDescent="0.3">
      <c r="A9" s="1">
        <f t="shared" si="8"/>
        <v>6</v>
      </c>
      <c r="B9" s="2">
        <v>0</v>
      </c>
      <c r="C9" s="1">
        <f t="shared" si="3"/>
        <v>2026</v>
      </c>
      <c r="D9" s="7">
        <f>$D$2*(1+Input_values!$B$4)^(A9)</f>
        <v>266243541.15019611</v>
      </c>
      <c r="E9" s="3">
        <v>0.14000000000000001</v>
      </c>
      <c r="F9" s="7">
        <f t="shared" si="9"/>
        <v>2304383.3973091287</v>
      </c>
      <c r="G9" s="33">
        <f>D9*Input_values!$B$5*((1+Input_values!$B$6)^A9)</f>
        <v>16459881.409350919</v>
      </c>
      <c r="H9" s="112">
        <f t="shared" si="4"/>
        <v>6.1822650563625868E-2</v>
      </c>
      <c r="I9" s="33">
        <v>0</v>
      </c>
      <c r="J9" s="34">
        <f t="shared" si="10"/>
        <v>8662310.9847482443</v>
      </c>
      <c r="K9" s="34">
        <f t="shared" si="0"/>
        <v>8662310.9847482443</v>
      </c>
      <c r="L9" s="25">
        <f t="shared" si="5"/>
        <v>3.253529061146903E-2</v>
      </c>
      <c r="M9" s="7">
        <f t="shared" si="1"/>
        <v>14155498.01204179</v>
      </c>
      <c r="N9" s="17">
        <f t="shared" si="11"/>
        <v>0.96746470938853102</v>
      </c>
      <c r="O9" s="34">
        <f t="shared" si="2"/>
        <v>257581230.16544786</v>
      </c>
      <c r="P9" s="7">
        <f>O9*(Input_values!$B$7*(1+Input_values!$B$8)^A9)/(Input_values!$B$13*(1+Input_values!$B$14)^A9)</f>
        <v>124875748302.07497</v>
      </c>
      <c r="Q9" s="7">
        <f>P9*Input_values!$B$10</f>
        <v>1109770775.1605403</v>
      </c>
      <c r="R9" s="17">
        <f>Input_values!L43+Input_values!N43</f>
        <v>0.47921578532239911</v>
      </c>
      <c r="S9" s="32">
        <f>J9*Input_values!$B$7</f>
        <v>99793699558.910614</v>
      </c>
      <c r="T9" s="7">
        <f>S9*Input_values!$B$11</f>
        <v>28940172872.084076</v>
      </c>
      <c r="U9" s="7">
        <f t="shared" si="6"/>
        <v>15071585201.822317</v>
      </c>
      <c r="V9" s="7">
        <f>U9*0.00045*model_energy_weight_us_ca!J20</f>
        <v>8993103.140500186</v>
      </c>
      <c r="W9" s="7">
        <f>P9*Input_values!$B$18</f>
        <v>168634884.84614787</v>
      </c>
      <c r="X9" s="7">
        <f t="shared" si="7"/>
        <v>1287398763.1471882</v>
      </c>
      <c r="Y9" s="32">
        <f>Input_values!$G$16/2</f>
        <v>697616532.42611539</v>
      </c>
      <c r="Z9" s="142">
        <f>Input_values!$G$16</f>
        <v>1395233064.8522308</v>
      </c>
      <c r="AA9">
        <v>1223891584.6953249</v>
      </c>
    </row>
    <row r="10" spans="1:27" x14ac:dyDescent="0.3">
      <c r="A10" s="1">
        <f t="shared" si="8"/>
        <v>7</v>
      </c>
      <c r="B10" s="2">
        <v>0</v>
      </c>
      <c r="C10" s="1">
        <f t="shared" si="3"/>
        <v>2027</v>
      </c>
      <c r="D10" s="7">
        <f>$D$2*(1+Input_values!$B$4)^(A10)</f>
        <v>268373489.47939771</v>
      </c>
      <c r="E10" s="3">
        <v>0.18</v>
      </c>
      <c r="F10" s="7">
        <f>E10*G10</f>
        <v>3001413.2873271941</v>
      </c>
      <c r="G10" s="33">
        <f>D10*Input_values!$B$5*((1+Input_values!$B$6)^A10)</f>
        <v>16674518.262928857</v>
      </c>
      <c r="H10" s="112">
        <f t="shared" si="4"/>
        <v>6.2131763816443995E-2</v>
      </c>
      <c r="I10" s="33">
        <v>0</v>
      </c>
      <c r="J10" s="34">
        <f t="shared" si="10"/>
        <v>11663724.272075439</v>
      </c>
      <c r="K10" s="34">
        <f t="shared" si="0"/>
        <v>11663724.272075439</v>
      </c>
      <c r="L10" s="25">
        <f t="shared" si="5"/>
        <v>4.3460791506274431E-2</v>
      </c>
      <c r="M10" s="7">
        <f t="shared" si="1"/>
        <v>13673104.975601664</v>
      </c>
      <c r="N10" s="17">
        <f t="shared" si="11"/>
        <v>0.95653920849372553</v>
      </c>
      <c r="O10" s="34">
        <f t="shared" si="2"/>
        <v>256709765.20732227</v>
      </c>
      <c r="P10" s="7">
        <f>O10*(Input_values!$B$7*(1+Input_values!$B$8)^A10)/(Input_values!$B$13*(1+Input_values!$B$14)^A10)</f>
        <v>123416561727.10521</v>
      </c>
      <c r="Q10" s="7">
        <f>P10*Input_values!$B$10</f>
        <v>1096802984.068784</v>
      </c>
      <c r="R10" s="17">
        <f>Input_values!L44+Input_values!N44</f>
        <v>0.48289683839647213</v>
      </c>
      <c r="S10" s="32">
        <f>J10*Input_values!$B$7</f>
        <v>134371323979.80959</v>
      </c>
      <c r="T10" s="7">
        <f>S10*Input_values!$B$11</f>
        <v>38967683954.144775</v>
      </c>
      <c r="U10" s="7">
        <f t="shared" si="6"/>
        <v>20150312573.055325</v>
      </c>
      <c r="V10" s="7">
        <f>U10*0.00045*model_energy_weight_us_ca!J21</f>
        <v>11916714.031547725</v>
      </c>
      <c r="W10" s="7">
        <f>P10*Input_values!$B$18</f>
        <v>166664368.045369</v>
      </c>
      <c r="X10" s="7">
        <f t="shared" si="7"/>
        <v>1275384066.1457007</v>
      </c>
      <c r="Y10" s="32">
        <f>Input_values!$G$16/2</f>
        <v>697616532.42611539</v>
      </c>
      <c r="Z10" s="142">
        <f>Input_values!$G$16</f>
        <v>1395233064.8522308</v>
      </c>
      <c r="AA10">
        <v>1202465544.7941771</v>
      </c>
    </row>
    <row r="11" spans="1:27" x14ac:dyDescent="0.3">
      <c r="A11" s="1">
        <f t="shared" si="8"/>
        <v>8</v>
      </c>
      <c r="B11" s="2">
        <v>0</v>
      </c>
      <c r="C11" s="1">
        <f t="shared" si="3"/>
        <v>2028</v>
      </c>
      <c r="D11" s="7">
        <f>$D$2*(1+Input_values!$B$4)^(A11)</f>
        <v>270520477.39523292</v>
      </c>
      <c r="E11" s="3">
        <v>0.22</v>
      </c>
      <c r="F11" s="7">
        <f t="shared" si="9"/>
        <v>3716229.8758370383</v>
      </c>
      <c r="G11" s="33">
        <f>D11*Input_values!$B$5*((1+Input_values!$B$6)^A11)</f>
        <v>16891953.981077448</v>
      </c>
      <c r="H11" s="112">
        <f>G11/D11</f>
        <v>6.2442422635526205E-2</v>
      </c>
      <c r="I11" s="33">
        <f>Input_values!B25</f>
        <v>17763</v>
      </c>
      <c r="J11" s="34">
        <f t="shared" si="10"/>
        <v>15362191.147912476</v>
      </c>
      <c r="K11" s="34">
        <f t="shared" si="0"/>
        <v>15362191.147912476</v>
      </c>
      <c r="L11" s="25">
        <f t="shared" si="5"/>
        <v>5.6787535257333488E-2</v>
      </c>
      <c r="M11" s="7">
        <f t="shared" si="1"/>
        <v>13175724.10524041</v>
      </c>
      <c r="N11" s="17">
        <f t="shared" si="11"/>
        <v>0.94321246474266651</v>
      </c>
      <c r="O11" s="34">
        <f t="shared" si="2"/>
        <v>255158286.24732044</v>
      </c>
      <c r="P11" s="7">
        <f>O11*(Input_values!$B$7*(1+Input_values!$B$8)^A11)/(Input_values!$B$13*(1+Input_values!$B$14)^A11)</f>
        <v>121648817947.62425</v>
      </c>
      <c r="Q11" s="7">
        <f>P11*Input_values!$B$10</f>
        <v>1081093045.1005368</v>
      </c>
      <c r="R11" s="17">
        <f>Input_values!L45+Input_values!N45</f>
        <v>0.48983874044010561</v>
      </c>
      <c r="S11" s="32">
        <f>J11*Input_values!$B$7</f>
        <v>176979317722.55453</v>
      </c>
      <c r="T11" s="7">
        <f>S11*Input_values!$B$11</f>
        <v>51324002139.54081</v>
      </c>
      <c r="U11" s="7">
        <f t="shared" si="6"/>
        <v>26183517577.162849</v>
      </c>
      <c r="V11" s="7">
        <f>U11*0.00045*model_energy_weight_us_ca!J22</f>
        <v>15541001.791710317</v>
      </c>
      <c r="W11" s="7">
        <f>P11*Input_values!$B$18</f>
        <v>164277168.98755714</v>
      </c>
      <c r="X11" s="7">
        <f t="shared" si="7"/>
        <v>1260911215.8798044</v>
      </c>
      <c r="Y11" s="32">
        <f>Input_values!$G$16/2</f>
        <v>697616532.42611539</v>
      </c>
      <c r="Z11" s="142">
        <f>Input_values!$G$16</f>
        <v>1395233064.8522308</v>
      </c>
      <c r="AA11">
        <v>1179113765.6203079</v>
      </c>
    </row>
    <row r="12" spans="1:27" x14ac:dyDescent="0.3">
      <c r="A12" s="1">
        <f t="shared" si="8"/>
        <v>9</v>
      </c>
      <c r="B12" s="2">
        <v>0</v>
      </c>
      <c r="C12" s="1">
        <f t="shared" si="3"/>
        <v>2029</v>
      </c>
      <c r="D12" s="7">
        <f>$D$2*(1+Input_values!$B$4)^(A12)</f>
        <v>272684641.21439481</v>
      </c>
      <c r="E12" s="3">
        <v>0.26</v>
      </c>
      <c r="F12" s="7">
        <f t="shared" si="9"/>
        <v>4449178.515857582</v>
      </c>
      <c r="G12" s="33">
        <f>D12*Input_values!$B$5*((1+Input_values!$B$6)^A12)</f>
        <v>17112225.060990699</v>
      </c>
      <c r="H12" s="112">
        <f t="shared" si="4"/>
        <v>6.2754634748703839E-2</v>
      </c>
      <c r="I12" s="33">
        <f>Input_values!B26</f>
        <v>53171</v>
      </c>
      <c r="J12" s="34">
        <f t="shared" si="10"/>
        <v>19758198.663770057</v>
      </c>
      <c r="K12" s="34">
        <f t="shared" si="0"/>
        <v>19758198.663770057</v>
      </c>
      <c r="L12" s="25">
        <f t="shared" si="5"/>
        <v>7.2458054754302892E-2</v>
      </c>
      <c r="M12" s="7">
        <f t="shared" si="1"/>
        <v>12663046.545133118</v>
      </c>
      <c r="N12" s="17">
        <f t="shared" si="11"/>
        <v>0.92754194524569711</v>
      </c>
      <c r="O12" s="34">
        <f t="shared" si="2"/>
        <v>252926442.55062476</v>
      </c>
      <c r="P12" s="7">
        <f>O12*(Input_values!$B$7*(1+Input_values!$B$8)^A12)/(Input_values!$B$13*(1+Input_values!$B$14)^A12)</f>
        <v>119580293587.05327</v>
      </c>
      <c r="Q12" s="7">
        <f>P12*Input_values!$B$10</f>
        <v>1062710069.1081425</v>
      </c>
      <c r="R12" s="17">
        <f>Input_values!L46+Input_values!N46</f>
        <v>0.4969071354824206</v>
      </c>
      <c r="S12" s="32">
        <f>J12*Input_values!$B$7</f>
        <v>227623291838.53976</v>
      </c>
      <c r="T12" s="7">
        <f>S12*Input_values!$B$11</f>
        <v>66010754633.176529</v>
      </c>
      <c r="U12" s="7">
        <f t="shared" si="6"/>
        <v>33209539637.371857</v>
      </c>
      <c r="V12" s="7">
        <f>U12*0.00045*model_energy_weight_us_ca!J23</f>
        <v>19718958.220195517</v>
      </c>
      <c r="W12" s="7">
        <f>P12*Input_values!$B$18</f>
        <v>161483789.39152437</v>
      </c>
      <c r="X12" s="7">
        <f t="shared" si="7"/>
        <v>1243912816.7198622</v>
      </c>
      <c r="Y12" s="32">
        <f>Input_values!$G$16/2</f>
        <v>697616532.42611539</v>
      </c>
      <c r="Z12" s="142">
        <f>Input_values!$G$16</f>
        <v>1395233064.8522308</v>
      </c>
      <c r="AA12">
        <v>1153834111.2856133</v>
      </c>
    </row>
    <row r="13" spans="1:27" s="154" customFormat="1" x14ac:dyDescent="0.3">
      <c r="A13" s="144">
        <f t="shared" si="8"/>
        <v>10</v>
      </c>
      <c r="B13" s="145">
        <v>0</v>
      </c>
      <c r="C13" s="144">
        <f t="shared" si="3"/>
        <v>2030</v>
      </c>
      <c r="D13" s="146">
        <f>$D$2*(1+Input_values!$B$4)^(A13)</f>
        <v>274866118.34410995</v>
      </c>
      <c r="E13" s="147">
        <v>0.3</v>
      </c>
      <c r="F13" s="146">
        <f>E13*G13</f>
        <v>5200610.5427358048</v>
      </c>
      <c r="G13" s="148">
        <f>D13*Input_values!$B$5*((1+Input_values!$B$6)^A13)</f>
        <v>17335368.475786015</v>
      </c>
      <c r="H13" s="149">
        <f t="shared" si="4"/>
        <v>6.3068407922447348E-2</v>
      </c>
      <c r="I13" s="148">
        <f>Input_values!B27</f>
        <v>97102</v>
      </c>
      <c r="J13" s="150">
        <f t="shared" si="10"/>
        <v>24861707.206505861</v>
      </c>
      <c r="K13" s="150">
        <f t="shared" si="0"/>
        <v>24861707.206505861</v>
      </c>
      <c r="L13" s="151">
        <f t="shared" si="5"/>
        <v>9.0450243035705966E-2</v>
      </c>
      <c r="M13" s="146">
        <f t="shared" si="1"/>
        <v>12134757.93305021</v>
      </c>
      <c r="N13" s="152">
        <f>1-L13</f>
        <v>0.90954975696429408</v>
      </c>
      <c r="O13" s="150">
        <f t="shared" si="2"/>
        <v>250004411.13760409</v>
      </c>
      <c r="P13" s="146">
        <f>O13*(Input_values!$B$7*(1+Input_values!$B$8)^A13)/(Input_values!$B$13*(1+Input_values!$B$14)^A13)</f>
        <v>117214196338.95734</v>
      </c>
      <c r="Q13" s="146">
        <f>P13*Input_values!$B$10</f>
        <v>1041682562.864314</v>
      </c>
      <c r="R13" s="152">
        <f>Input_values!L47+Input_values!N47</f>
        <v>0.50453428873385486</v>
      </c>
      <c r="S13" s="153">
        <f>J13*Input_values!$B$7</f>
        <v>286417994442.36371</v>
      </c>
      <c r="T13" s="146">
        <f>S13*Input_values!$B$11</f>
        <v>83061218388.285477</v>
      </c>
      <c r="U13" s="146">
        <f t="shared" si="6"/>
        <v>41153985647.384476</v>
      </c>
      <c r="V13" s="7">
        <f>U13*0.00045*model_energy_weight_us_ca!J24</f>
        <v>24437100.719503548</v>
      </c>
      <c r="W13" s="146">
        <f>P13*Input_values!$B$18</f>
        <v>158288560.99535695</v>
      </c>
      <c r="X13" s="146">
        <f t="shared" si="7"/>
        <v>1224408224.5791745</v>
      </c>
      <c r="Y13" s="32">
        <f>Input_values!$G$16/2</f>
        <v>697616532.42611539</v>
      </c>
      <c r="Z13" s="142">
        <f>Input_values!$G$16</f>
        <v>1395233064.8522308</v>
      </c>
      <c r="AA13" s="154">
        <v>1126711284.8461394</v>
      </c>
    </row>
    <row r="14" spans="1:27" x14ac:dyDescent="0.3">
      <c r="A14" s="1">
        <f t="shared" si="8"/>
        <v>11</v>
      </c>
      <c r="B14" s="2">
        <v>0</v>
      </c>
      <c r="C14" s="1">
        <f t="shared" si="3"/>
        <v>2031</v>
      </c>
      <c r="D14" s="7">
        <f>$D$2*(1+Input_values!$B$4)^(A14)</f>
        <v>277065047.29086286</v>
      </c>
      <c r="E14" s="3">
        <v>0.314</v>
      </c>
      <c r="F14" s="7">
        <f t="shared" si="9"/>
        <v>5514286.4077430228</v>
      </c>
      <c r="G14" s="33">
        <f>D14*Input_values!$B$5*((1+Input_values!$B$6)^A14)</f>
        <v>17561421.680710264</v>
      </c>
      <c r="H14" s="112">
        <f t="shared" si="4"/>
        <v>6.3383749962059574E-2</v>
      </c>
      <c r="I14" s="33">
        <f>Input_values!B28</f>
        <v>118882</v>
      </c>
      <c r="J14" s="34">
        <f t="shared" si="10"/>
        <v>30257111.614248883</v>
      </c>
      <c r="K14" s="34">
        <f t="shared" si="0"/>
        <v>30257111.614248883</v>
      </c>
      <c r="L14" s="25">
        <f t="shared" si="5"/>
        <v>0.10920580531576389</v>
      </c>
      <c r="M14" s="7">
        <f t="shared" si="1"/>
        <v>12047135.27296724</v>
      </c>
      <c r="N14" s="17">
        <f t="shared" si="11"/>
        <v>0.89079419468423615</v>
      </c>
      <c r="O14" s="34">
        <f t="shared" si="2"/>
        <v>246807935.67661399</v>
      </c>
      <c r="P14" s="7">
        <f>O14*(Input_values!$B$7*(1+Input_values!$B$8)^A14)/(Input_values!$B$13*(1+Input_values!$B$14)^A14)</f>
        <v>114751619965.37036</v>
      </c>
      <c r="Q14" s="7">
        <f>P14*Input_values!$B$10</f>
        <v>1019797646.6322465</v>
      </c>
      <c r="R14" s="17">
        <f>Input_values!L48+Input_values!N48</f>
        <v>0.50568832355593707</v>
      </c>
      <c r="S14" s="32">
        <f>J14*Input_values!$B$7</f>
        <v>348575468055.71466</v>
      </c>
      <c r="T14" s="7">
        <f>S14*Input_values!$B$11</f>
        <v>101086885736.15724</v>
      </c>
      <c r="U14" s="7">
        <f t="shared" si="6"/>
        <v>49968427954.749321</v>
      </c>
      <c r="V14" s="7">
        <f>U14*0.00045*model_energy_weight_us_ca!J25</f>
        <v>29510725.605295081</v>
      </c>
      <c r="W14" s="7">
        <f>P14*Input_values!$B$18</f>
        <v>154963045.1219295</v>
      </c>
      <c r="X14" s="7">
        <f t="shared" si="7"/>
        <v>1204271417.3594711</v>
      </c>
      <c r="Y14" s="32">
        <f>Input_values!$G$16/2</f>
        <v>697616532.42611539</v>
      </c>
      <c r="Z14" s="142">
        <f>Input_values!$G$16</f>
        <v>1395233064.8522308</v>
      </c>
      <c r="AA14">
        <v>1099501741.6068404</v>
      </c>
    </row>
    <row r="15" spans="1:27" x14ac:dyDescent="0.3">
      <c r="A15" s="1">
        <f t="shared" si="8"/>
        <v>12</v>
      </c>
      <c r="B15" s="2">
        <v>0</v>
      </c>
      <c r="C15" s="1">
        <f t="shared" si="3"/>
        <v>2032</v>
      </c>
      <c r="D15" s="7">
        <f>$D$2*(1+Input_values!$B$4)^(A15)</f>
        <v>279281567.66918975</v>
      </c>
      <c r="E15" s="3">
        <v>0.35799999999999998</v>
      </c>
      <c r="F15" s="7">
        <f t="shared" si="9"/>
        <v>6368971.2977547655</v>
      </c>
      <c r="G15" s="33">
        <f>D15*Input_values!$B$5*((1+Input_values!$B$6)^A15)</f>
        <v>17790422.61942672</v>
      </c>
      <c r="H15" s="112">
        <f t="shared" si="4"/>
        <v>6.3700668711869857E-2</v>
      </c>
      <c r="I15" s="33">
        <f>Input_values!B29</f>
        <v>114023</v>
      </c>
      <c r="J15" s="34">
        <f t="shared" si="10"/>
        <v>36512059.912003651</v>
      </c>
      <c r="K15" s="34">
        <f t="shared" si="0"/>
        <v>36512059.912003651</v>
      </c>
      <c r="L15" s="25">
        <f t="shared" si="5"/>
        <v>0.13073565941613571</v>
      </c>
      <c r="M15" s="7">
        <f t="shared" si="1"/>
        <v>11421451.321671955</v>
      </c>
      <c r="N15" s="17">
        <f t="shared" si="11"/>
        <v>0.86926434058386426</v>
      </c>
      <c r="O15" s="34">
        <f t="shared" si="2"/>
        <v>242769507.75718611</v>
      </c>
      <c r="P15" s="7">
        <f>O15*(Input_values!$B$7*(1+Input_values!$B$8)^A15)/(Input_values!$B$13*(1+Input_values!$B$14)^A15)</f>
        <v>111933737809.52985</v>
      </c>
      <c r="Q15" s="7">
        <f>P15*Input_values!$B$10</f>
        <v>994755127.91329181</v>
      </c>
      <c r="R15" s="17">
        <f>Input_values!L49+Input_values!N49</f>
        <v>0.50747174284039853</v>
      </c>
      <c r="S15" s="32">
        <f>J15*Input_values!$B$7</f>
        <v>420635271990.44958</v>
      </c>
      <c r="T15" s="7">
        <f>S15*Input_values!$B$11</f>
        <v>121984228877.23038</v>
      </c>
      <c r="U15" s="7">
        <f t="shared" si="6"/>
        <v>60080679649.860207</v>
      </c>
      <c r="V15" s="7">
        <f>U15*0.00045*model_energy_weight_us_ca!J26</f>
        <v>35323561.051569648</v>
      </c>
      <c r="W15" s="7">
        <f>P15*Input_values!$B$18</f>
        <v>151157716.71091819</v>
      </c>
      <c r="X15" s="7">
        <f t="shared" si="7"/>
        <v>1181236405.6757798</v>
      </c>
      <c r="Y15" s="32">
        <f>Input_values!$G$16/2</f>
        <v>697616532.42611539</v>
      </c>
      <c r="Z15" s="142">
        <f>Input_values!$G$16</f>
        <v>1395233064.8522308</v>
      </c>
      <c r="AA15">
        <v>1070213575.4320178</v>
      </c>
    </row>
    <row r="16" spans="1:27" x14ac:dyDescent="0.3">
      <c r="A16" s="1">
        <f t="shared" si="8"/>
        <v>13</v>
      </c>
      <c r="B16" s="2">
        <v>0</v>
      </c>
      <c r="C16" s="1">
        <f t="shared" si="3"/>
        <v>2033</v>
      </c>
      <c r="D16" s="7">
        <f>$D$2*(1+Input_values!$B$4)^(A16)</f>
        <v>281515820.21054322</v>
      </c>
      <c r="E16" s="3">
        <v>0.40200000000000002</v>
      </c>
      <c r="F16" s="7">
        <f t="shared" si="9"/>
        <v>7245008.7116143843</v>
      </c>
      <c r="G16" s="33">
        <f>D16*Input_values!$B$5*((1+Input_values!$B$6)^A16)</f>
        <v>18022409.730384041</v>
      </c>
      <c r="H16" s="112">
        <f t="shared" si="4"/>
        <v>6.4019172055429202E-2</v>
      </c>
      <c r="I16" s="33">
        <f>Input_values!B30</f>
        <v>159616</v>
      </c>
      <c r="J16" s="34">
        <f t="shared" si="10"/>
        <v>43597452.623618037</v>
      </c>
      <c r="K16" s="34">
        <f t="shared" si="0"/>
        <v>43597452.623618037</v>
      </c>
      <c r="L16" s="25">
        <f t="shared" si="5"/>
        <v>0.15486679431021633</v>
      </c>
      <c r="M16" s="7">
        <f t="shared" si="1"/>
        <v>10777401.018769655</v>
      </c>
      <c r="N16" s="17">
        <f t="shared" si="11"/>
        <v>0.84513320568978367</v>
      </c>
      <c r="O16" s="34">
        <f t="shared" si="2"/>
        <v>237918367.58692518</v>
      </c>
      <c r="P16" s="7">
        <f>O16*(Input_values!$B$7*(1+Input_values!$B$8)^A16)/(Input_values!$B$13*(1+Input_values!$B$14)^A16)</f>
        <v>108783243349.74649</v>
      </c>
      <c r="Q16" s="7">
        <f>P16*Input_values!$B$10</f>
        <v>966756683.6491971</v>
      </c>
      <c r="R16" s="17">
        <f>Input_values!L50+Input_values!N50</f>
        <v>0.51176480957801385</v>
      </c>
      <c r="S16" s="32">
        <f>J16*Input_values!$B$7</f>
        <v>502262167257.16241</v>
      </c>
      <c r="T16" s="7">
        <f>S16*Input_values!$B$11</f>
        <v>145656028504.57709</v>
      </c>
      <c r="U16" s="7">
        <f t="shared" si="6"/>
        <v>71114398813.042435</v>
      </c>
      <c r="V16" s="7">
        <f>U16*0.00045*model_energy_weight_us_ca!J27</f>
        <v>41767472.332608603</v>
      </c>
      <c r="W16" s="7">
        <f>P16*Input_values!$B$18</f>
        <v>146903221.52143741</v>
      </c>
      <c r="X16" s="7">
        <f t="shared" si="7"/>
        <v>1155427377.503243</v>
      </c>
      <c r="Y16" s="32">
        <f>Input_values!$G$16/2</f>
        <v>697616532.42611539</v>
      </c>
      <c r="Z16" s="142">
        <f>Input_values!$G$16</f>
        <v>1395233064.8522308</v>
      </c>
      <c r="AA16">
        <v>1039024435.1066658</v>
      </c>
    </row>
    <row r="17" spans="1:27" x14ac:dyDescent="0.3">
      <c r="A17" s="1">
        <f t="shared" si="8"/>
        <v>14</v>
      </c>
      <c r="B17" s="2">
        <v>0</v>
      </c>
      <c r="C17" s="1">
        <f t="shared" si="3"/>
        <v>2034</v>
      </c>
      <c r="D17" s="7">
        <f>$D$2*(1+Input_values!$B$4)^(A17)</f>
        <v>283767946.77222764</v>
      </c>
      <c r="E17" s="3">
        <v>0.44600000000000001</v>
      </c>
      <c r="F17" s="7">
        <f t="shared" si="9"/>
        <v>8142810.191157639</v>
      </c>
      <c r="G17" s="33">
        <f>D17*Input_values!$B$5*((1+Input_values!$B$6)^A17)</f>
        <v>18257421.953268249</v>
      </c>
      <c r="H17" s="112">
        <f t="shared" si="4"/>
        <v>6.4339267915706336E-2</v>
      </c>
      <c r="I17" s="33">
        <f>Input_values!B31</f>
        <v>195581</v>
      </c>
      <c r="J17" s="34">
        <f t="shared" si="10"/>
        <v>51544681.814775676</v>
      </c>
      <c r="K17" s="34">
        <f t="shared" si="0"/>
        <v>51544681.814775676</v>
      </c>
      <c r="L17" s="25">
        <f t="shared" si="5"/>
        <v>0.18164377760448436</v>
      </c>
      <c r="M17" s="7">
        <f t="shared" si="1"/>
        <v>10114611.762110611</v>
      </c>
      <c r="N17" s="17">
        <f t="shared" si="11"/>
        <v>0.81835622239551564</v>
      </c>
      <c r="O17" s="34">
        <f t="shared" si="2"/>
        <v>232223264.95745197</v>
      </c>
      <c r="P17" s="7">
        <f>O17*(Input_values!$B$7*(1+Input_values!$B$8)^A17)/(Input_values!$B$13*(1+Input_values!$B$14)^A17)</f>
        <v>105294799373.63181</v>
      </c>
      <c r="Q17" s="7">
        <f>P17*Input_values!$B$10</f>
        <v>935754882.03346598</v>
      </c>
      <c r="R17" s="17">
        <f>Input_values!L51+Input_values!N51</f>
        <v>0.51740989906551482</v>
      </c>
      <c r="S17" s="32">
        <f>J17*Input_values!$B$7</f>
        <v>593817804502.76282</v>
      </c>
      <c r="T17" s="7">
        <f>S17*Input_values!$B$11</f>
        <v>172207163305.80121</v>
      </c>
      <c r="U17" s="7">
        <f t="shared" si="6"/>
        <v>83105472321.38797</v>
      </c>
      <c r="V17" s="7">
        <f>U17*0.00045*model_energy_weight_us_ca!J28</f>
        <v>48734638.81975814</v>
      </c>
      <c r="W17" s="7">
        <f>P17*Input_values!$B$18</f>
        <v>142192352.06757593</v>
      </c>
      <c r="X17" s="7">
        <f t="shared" si="7"/>
        <v>1126681872.9208002</v>
      </c>
      <c r="Y17" s="32">
        <f>Input_values!$G$16/2</f>
        <v>697616532.42611539</v>
      </c>
      <c r="Z17" s="142">
        <f>Input_values!$G$16</f>
        <v>1395233064.8522308</v>
      </c>
      <c r="AA17">
        <v>1005849103.4126616</v>
      </c>
    </row>
    <row r="18" spans="1:27" x14ac:dyDescent="0.3">
      <c r="A18" s="1">
        <f t="shared" si="8"/>
        <v>15</v>
      </c>
      <c r="B18" s="2">
        <v>0</v>
      </c>
      <c r="C18" s="1">
        <f t="shared" si="3"/>
        <v>2035</v>
      </c>
      <c r="D18" s="7">
        <f>$D$2*(1+Input_values!$B$4)^(A18)</f>
        <v>286038090.34640545</v>
      </c>
      <c r="E18" s="3">
        <v>0.49</v>
      </c>
      <c r="F18" s="7">
        <f t="shared" si="9"/>
        <v>9062794.3804140408</v>
      </c>
      <c r="G18" s="33">
        <f>D18*Input_values!$B$5*((1+Input_values!$B$6)^A18)</f>
        <v>18495498.735538859</v>
      </c>
      <c r="H18" s="112">
        <f t="shared" si="4"/>
        <v>6.4660964255284836E-2</v>
      </c>
      <c r="I18" s="33">
        <f>Input_values!B32</f>
        <v>361315</v>
      </c>
      <c r="J18" s="34">
        <f t="shared" si="10"/>
        <v>60246161.195189714</v>
      </c>
      <c r="K18" s="34">
        <f t="shared" si="0"/>
        <v>60246161.195189714</v>
      </c>
      <c r="L18" s="25">
        <f t="shared" si="5"/>
        <v>0.21062286187909032</v>
      </c>
      <c r="M18" s="7">
        <f t="shared" si="1"/>
        <v>9432704.3551248182</v>
      </c>
      <c r="N18" s="17">
        <f t="shared" si="11"/>
        <v>0.7893771381209097</v>
      </c>
      <c r="O18" s="34">
        <f t="shared" si="2"/>
        <v>225791929.15121573</v>
      </c>
      <c r="P18" s="7">
        <f>O18*(Input_values!$B$7*(1+Input_values!$B$8)^A18)/(Input_values!$B$13*(1+Input_values!$B$14)^A18)</f>
        <v>101525882176.5929</v>
      </c>
      <c r="Q18" s="7">
        <f>P18*Input_values!$B$10</f>
        <v>902260514.90338111</v>
      </c>
      <c r="R18" s="17">
        <f>Input_values!L52+Input_values!N52</f>
        <v>0.52315618055416779</v>
      </c>
      <c r="S18" s="32">
        <f>J18*Input_values!$B$7</f>
        <v>694062741510.45105</v>
      </c>
      <c r="T18" s="7">
        <f>S18*Input_values!$B$11</f>
        <v>201278195038.03079</v>
      </c>
      <c r="U18" s="7">
        <f t="shared" si="6"/>
        <v>95978263293.097748</v>
      </c>
      <c r="V18" s="7">
        <f>U18*0.00045*model_energy_weight_us_ca!J29</f>
        <v>56089043.919928648</v>
      </c>
      <c r="W18" s="7">
        <f>P18*Input_values!$B$18</f>
        <v>137102725.5695639</v>
      </c>
      <c r="X18" s="7">
        <f t="shared" si="7"/>
        <v>1095452284.3928738</v>
      </c>
      <c r="Y18" s="32">
        <f>Input_values!$G$16/2</f>
        <v>697616532.42611539</v>
      </c>
      <c r="Z18" s="142">
        <f>Input_values!$G$16</f>
        <v>1395233064.8522308</v>
      </c>
      <c r="AA18">
        <v>971140705.86555016</v>
      </c>
    </row>
    <row r="19" spans="1:27" x14ac:dyDescent="0.3">
      <c r="A19" s="1">
        <f t="shared" si="8"/>
        <v>16</v>
      </c>
      <c r="B19" s="2">
        <v>0</v>
      </c>
      <c r="C19" s="1">
        <f t="shared" si="3"/>
        <v>2036</v>
      </c>
      <c r="D19" s="7">
        <f>$D$2*(1+Input_values!$B$4)^(A19)</f>
        <v>288326395.06917673</v>
      </c>
      <c r="E19" s="3">
        <v>0.51800000000000002</v>
      </c>
      <c r="F19" s="7">
        <f t="shared" si="9"/>
        <v>9705600.260228049</v>
      </c>
      <c r="G19" s="33">
        <f>D19*Input_values!$B$5*((1+Input_values!$B$6)^A19)</f>
        <v>18736680.039050288</v>
      </c>
      <c r="H19" s="112">
        <f t="shared" si="4"/>
        <v>6.4984269076561268E-2</v>
      </c>
      <c r="I19" s="33">
        <f>Input_values!B33</f>
        <v>326644</v>
      </c>
      <c r="J19" s="34">
        <f t="shared" si="10"/>
        <v>69625117.455417767</v>
      </c>
      <c r="K19" s="34">
        <f t="shared" si="0"/>
        <v>69625117.455417767</v>
      </c>
      <c r="L19" s="25">
        <f t="shared" si="5"/>
        <v>0.24148020662039268</v>
      </c>
      <c r="M19" s="7">
        <f t="shared" si="1"/>
        <v>9031079.7788222395</v>
      </c>
      <c r="N19" s="17">
        <f t="shared" si="11"/>
        <v>0.75851979337960729</v>
      </c>
      <c r="O19" s="34">
        <f t="shared" si="2"/>
        <v>218701277.61375898</v>
      </c>
      <c r="P19" s="7">
        <f>O19*(Input_values!$B$7*(1+Input_values!$B$8)^A19)/(Input_values!$B$13*(1+Input_values!$B$14)^A19)</f>
        <v>97518461446.952774</v>
      </c>
      <c r="Q19" s="7">
        <f>P19*Input_values!$B$10</f>
        <v>866646566.87906933</v>
      </c>
      <c r="R19" s="17">
        <f>Input_values!L53+Input_values!N53</f>
        <v>0.52673018138622829</v>
      </c>
      <c r="S19" s="32">
        <f>J19*Input_values!$B$7</f>
        <v>802112515393.8075</v>
      </c>
      <c r="T19" s="7">
        <f>S19*Input_values!$B$11</f>
        <v>232612629464.20416</v>
      </c>
      <c r="U19" s="7">
        <f t="shared" si="6"/>
        <v>110088536953.79639</v>
      </c>
      <c r="V19" s="7">
        <f>U19*0.00045*model_energy_weight_us_ca!J30</f>
        <v>64225756.685919881</v>
      </c>
      <c r="W19" s="7">
        <f>P19*Input_values!$B$18</f>
        <v>131691018.79333551</v>
      </c>
      <c r="X19" s="7">
        <f t="shared" si="7"/>
        <v>1062563342.3583248</v>
      </c>
      <c r="Y19" s="32">
        <f>Input_values!$G$16/2</f>
        <v>697616532.42611539</v>
      </c>
      <c r="Z19" s="142">
        <f>Input_values!$G$16</f>
        <v>1395233064.8522308</v>
      </c>
      <c r="AA19">
        <v>935726109.28940535</v>
      </c>
    </row>
    <row r="20" spans="1:27" x14ac:dyDescent="0.3">
      <c r="A20" s="1">
        <f t="shared" si="8"/>
        <v>17</v>
      </c>
      <c r="B20" s="2">
        <v>0</v>
      </c>
      <c r="C20" s="1">
        <f t="shared" si="3"/>
        <v>2037</v>
      </c>
      <c r="D20" s="7">
        <f>$D$2*(1+Input_values!$B$4)^(A20)</f>
        <v>290633006.22973013</v>
      </c>
      <c r="E20" s="3">
        <v>0.54600000000000004</v>
      </c>
      <c r="F20" s="7">
        <f>E20*G20</f>
        <v>10363629.46533069</v>
      </c>
      <c r="G20" s="33">
        <f>D20*Input_values!$B$5*((1+Input_values!$B$6)^A20)</f>
        <v>18981006.346759506</v>
      </c>
      <c r="H20" s="112">
        <f t="shared" si="4"/>
        <v>6.530919042194408E-2</v>
      </c>
      <c r="I20" s="33">
        <f>F3</f>
        <v>328000</v>
      </c>
      <c r="J20" s="34">
        <f t="shared" si="10"/>
        <v>79660746.920748457</v>
      </c>
      <c r="K20" s="34">
        <f t="shared" si="0"/>
        <v>79660746.920748457</v>
      </c>
      <c r="L20" s="25">
        <f t="shared" si="5"/>
        <v>0.27409394395411796</v>
      </c>
      <c r="M20" s="7">
        <f t="shared" si="1"/>
        <v>8617376.8814288154</v>
      </c>
      <c r="N20" s="17">
        <f t="shared" si="11"/>
        <v>0.7259060560458821</v>
      </c>
      <c r="O20" s="34">
        <f t="shared" si="2"/>
        <v>210972259.30898166</v>
      </c>
      <c r="P20" s="7">
        <f>O20*(Input_values!$B$7*(1+Input_values!$B$8)^A20)/(Input_values!$B$13*(1+Input_values!$B$14)^A20)</f>
        <v>93288484403.531387</v>
      </c>
      <c r="Q20" s="7">
        <f>P20*Input_values!$B$10</f>
        <v>829054760.89418352</v>
      </c>
      <c r="R20" s="17">
        <f>Input_values!L54+Input_values!N54</f>
        <v>0.52637982951186624</v>
      </c>
      <c r="S20" s="32">
        <f>J20*Input_values!$B$7</f>
        <v>917727458508.99841</v>
      </c>
      <c r="T20" s="7">
        <f>S20*Input_values!$B$11</f>
        <v>266140962967.60953</v>
      </c>
      <c r="U20" s="7">
        <f t="shared" si="6"/>
        <v>126049728254.59532</v>
      </c>
      <c r="V20" s="7">
        <f>U20*0.00045*model_energy_weight_us_ca!J31</f>
        <v>73114495.369603962</v>
      </c>
      <c r="W20" s="7">
        <f>P20*Input_values!$B$18</f>
        <v>125978767.2047109</v>
      </c>
      <c r="X20" s="7">
        <f t="shared" si="7"/>
        <v>1028148023.4684985</v>
      </c>
      <c r="Y20" s="32">
        <f>Input_values!$G$16/2</f>
        <v>697616532.42611539</v>
      </c>
      <c r="Z20" s="142">
        <f>Input_values!$G$16</f>
        <v>1395233064.8522308</v>
      </c>
      <c r="AA20">
        <v>899762549.71269274</v>
      </c>
    </row>
    <row r="21" spans="1:27" x14ac:dyDescent="0.3">
      <c r="A21" s="1">
        <f t="shared" si="8"/>
        <v>18</v>
      </c>
      <c r="B21" s="2">
        <v>0</v>
      </c>
      <c r="C21" s="1">
        <f t="shared" si="3"/>
        <v>2038</v>
      </c>
      <c r="D21" s="7">
        <f>$D$2*(1+Input_values!$B$4)^(A21)</f>
        <v>292958070.27956802</v>
      </c>
      <c r="E21" s="3">
        <v>0.57399999999999995</v>
      </c>
      <c r="F21" s="7">
        <f>E21*G21</f>
        <v>11037169.716305193</v>
      </c>
      <c r="G21" s="33">
        <f>D21*Input_values!$B$5*((1+Input_values!$B$6)^A21)</f>
        <v>19228518.669521242</v>
      </c>
      <c r="H21" s="112">
        <f t="shared" si="4"/>
        <v>6.5635736374053774E-2</v>
      </c>
      <c r="I21" s="33">
        <f t="shared" ref="I21:I33" si="12">F4</f>
        <v>617097.41030246392</v>
      </c>
      <c r="J21" s="34">
        <f t="shared" si="10"/>
        <v>90080819.226751193</v>
      </c>
      <c r="K21" s="34">
        <f t="shared" si="0"/>
        <v>90080819.226751193</v>
      </c>
      <c r="L21" s="25">
        <f t="shared" si="5"/>
        <v>0.30748707192393654</v>
      </c>
      <c r="M21" s="7">
        <f t="shared" si="1"/>
        <v>8191348.9532160498</v>
      </c>
      <c r="N21" s="17">
        <f>1-L21</f>
        <v>0.69251292807606346</v>
      </c>
      <c r="O21" s="34">
        <f>D21-J21</f>
        <v>202877251.05281681</v>
      </c>
      <c r="P21" s="7">
        <f>O21*(Input_values!$B$7*(1+Input_values!$B$8)^A21)/(Input_values!$B$13*(1+Input_values!$B$14)^A21)</f>
        <v>88961725582.997177</v>
      </c>
      <c r="Q21" s="7">
        <f>P21*Input_values!$B$10</f>
        <v>790602855.25609601</v>
      </c>
      <c r="R21" s="17">
        <f>Input_values!L55+Input_values!N55</f>
        <v>0.52426260935727664</v>
      </c>
      <c r="S21" s="32">
        <f>J21*Input_values!$B$7</f>
        <v>1037771355214.8823</v>
      </c>
      <c r="T21" s="7">
        <f>S21*Input_values!$B$11</f>
        <v>300953693012.31586</v>
      </c>
      <c r="U21" s="7">
        <f t="shared" si="6"/>
        <v>143174924617.97034</v>
      </c>
      <c r="V21" s="7">
        <f>U21*0.00045*model_energy_weight_us_ca!J32</f>
        <v>82264750.960763425</v>
      </c>
      <c r="W21" s="7">
        <f>P21*Input_values!$B$18</f>
        <v>120135819.43159461</v>
      </c>
      <c r="X21" s="7">
        <f t="shared" si="7"/>
        <v>993003425.64845407</v>
      </c>
      <c r="Y21" s="32">
        <f>Input_values!$G$16/2</f>
        <v>697616532.42611539</v>
      </c>
      <c r="Z21" s="142">
        <f>Input_values!$G$16</f>
        <v>1395233064.8522308</v>
      </c>
      <c r="AA21">
        <v>863906400.96070087</v>
      </c>
    </row>
    <row r="22" spans="1:27" x14ac:dyDescent="0.3">
      <c r="A22" s="1">
        <f t="shared" si="8"/>
        <v>19</v>
      </c>
      <c r="B22" s="2">
        <v>0</v>
      </c>
      <c r="C22" s="1">
        <f t="shared" si="3"/>
        <v>2039</v>
      </c>
      <c r="D22" s="7">
        <f>$D$2*(1+Input_values!$B$4)^(A22)</f>
        <v>295301734.84180456</v>
      </c>
      <c r="E22" s="3">
        <v>0.60199999999999998</v>
      </c>
      <c r="F22" s="7">
        <f>E22*G22</f>
        <v>11726513.648889022</v>
      </c>
      <c r="G22" s="33">
        <f>D22*Input_values!$B$5*((1+Input_values!$B$6)^A22)</f>
        <v>19479258.552971799</v>
      </c>
      <c r="H22" s="112">
        <f t="shared" si="4"/>
        <v>6.5963915055924027E-2</v>
      </c>
      <c r="I22" s="33">
        <f t="shared" si="12"/>
        <v>781430.45066601003</v>
      </c>
      <c r="J22" s="34">
        <f t="shared" si="10"/>
        <v>101025902.4249742</v>
      </c>
      <c r="K22" s="34">
        <f t="shared" si="0"/>
        <v>101025902.4249742</v>
      </c>
      <c r="L22" s="25">
        <f t="shared" si="5"/>
        <v>0.34211076504204951</v>
      </c>
      <c r="M22" s="7">
        <f t="shared" si="1"/>
        <v>7752744.904082776</v>
      </c>
      <c r="N22" s="17">
        <f t="shared" si="11"/>
        <v>0.65788923495795049</v>
      </c>
      <c r="O22" s="34">
        <f t="shared" si="2"/>
        <v>194275832.41683036</v>
      </c>
      <c r="P22" s="7">
        <f>O22*(Input_values!$B$7*(1+Input_values!$B$8)^A22)/(Input_values!$B$13*(1+Input_values!$B$14)^A22)</f>
        <v>84480366272.329849</v>
      </c>
      <c r="Q22" s="7">
        <f>P22*Input_values!$B$10</f>
        <v>750777015.06219542</v>
      </c>
      <c r="R22" s="17">
        <f>Input_values!L56+Input_values!N56</f>
        <v>0.52304249188586138</v>
      </c>
      <c r="S22" s="32">
        <f>J22*Input_values!$B$7</f>
        <v>1163863612379.7285</v>
      </c>
      <c r="T22" s="7">
        <f>S22*Input_values!$B$11</f>
        <v>337520447590.12122</v>
      </c>
      <c r="U22" s="7">
        <f t="shared" si="6"/>
        <v>160982911620.15292</v>
      </c>
      <c r="V22" s="7">
        <f>U22*0.00045*model_energy_weight_us_ca!J33</f>
        <v>92023690.836663127</v>
      </c>
      <c r="W22" s="7">
        <f>P22*Input_values!$B$18</f>
        <v>114084095.84567843</v>
      </c>
      <c r="X22" s="7">
        <f t="shared" si="7"/>
        <v>956884801.744537</v>
      </c>
      <c r="Y22" s="32">
        <f>Input_values!$G$16/2</f>
        <v>697616532.42611539</v>
      </c>
      <c r="Z22" s="142">
        <f>Input_values!$G$16</f>
        <v>1395233064.8522308</v>
      </c>
      <c r="AA22">
        <v>828014119.90003526</v>
      </c>
    </row>
    <row r="23" spans="1:27" x14ac:dyDescent="0.3">
      <c r="A23" s="1">
        <f t="shared" ref="A23:A33" si="13">A22+1</f>
        <v>20</v>
      </c>
      <c r="B23" s="2">
        <v>0</v>
      </c>
      <c r="C23" s="1">
        <f t="shared" ref="C23:C33" si="14">C22+1</f>
        <v>2040</v>
      </c>
      <c r="D23" s="7">
        <f>$D$2*(1+Input_values!$B$4)^(A23)</f>
        <v>297664148.72053903</v>
      </c>
      <c r="E23" s="3">
        <v>0.63</v>
      </c>
      <c r="F23" s="7">
        <f>E23*G23</f>
        <v>12431958.893236607</v>
      </c>
      <c r="G23" s="33">
        <f>D23*Input_values!$B$5*((1+Input_values!$B$6)^A23)</f>
        <v>19733268.084502552</v>
      </c>
      <c r="H23" s="112">
        <f t="shared" si="4"/>
        <v>6.6293734631203652E-2</v>
      </c>
      <c r="I23" s="33">
        <f t="shared" si="12"/>
        <v>949944.36449123383</v>
      </c>
      <c r="J23" s="34">
        <f t="shared" si="10"/>
        <v>112507916.95371957</v>
      </c>
      <c r="K23" s="34">
        <f t="shared" si="0"/>
        <v>112507916.95371957</v>
      </c>
      <c r="L23" s="25">
        <f t="shared" si="5"/>
        <v>0.37796932360620711</v>
      </c>
      <c r="M23" s="7">
        <f t="shared" si="1"/>
        <v>7301309.1912659444</v>
      </c>
      <c r="N23" s="17">
        <f t="shared" si="11"/>
        <v>0.62203067639379284</v>
      </c>
      <c r="O23" s="34">
        <f t="shared" si="2"/>
        <v>185156231.76681948</v>
      </c>
      <c r="P23" s="7">
        <f>O23*(Input_values!$B$7*(1+Input_values!$B$8)^A23)/(Input_values!$B$13*(1+Input_values!$B$14)^A23)</f>
        <v>79844040495.807938</v>
      </c>
      <c r="Q23" s="7">
        <f>P23*Input_values!$B$10</f>
        <v>709573987.88624525</v>
      </c>
      <c r="R23" s="17">
        <f>Input_values!L57+Input_values!N57</f>
        <v>0.52283963702227865</v>
      </c>
      <c r="S23" s="32">
        <f>J23*Input_values!$B$7</f>
        <v>1296141558788.0408</v>
      </c>
      <c r="T23" s="7">
        <f>S23*Input_values!$B$11</f>
        <v>375881052048.5318</v>
      </c>
      <c r="U23" s="7">
        <f t="shared" si="6"/>
        <v>179355539231.9252</v>
      </c>
      <c r="V23" s="7">
        <f>U23*0.00045*model_energy_weight_us_ca!J34</f>
        <v>102095063.90211865</v>
      </c>
      <c r="W23" s="7">
        <f>P23*Input_values!$B$18</f>
        <v>107823102.22551042</v>
      </c>
      <c r="X23" s="7">
        <f t="shared" si="7"/>
        <v>919492154.01387429</v>
      </c>
      <c r="Y23" s="32">
        <f>Input_values!$G$16/2</f>
        <v>697616532.42611539</v>
      </c>
      <c r="Z23" s="142">
        <f>Input_values!$G$16</f>
        <v>1395233064.8522308</v>
      </c>
      <c r="AA23">
        <v>791811807.30317473</v>
      </c>
    </row>
    <row r="24" spans="1:27" x14ac:dyDescent="0.3">
      <c r="A24" s="1">
        <f t="shared" si="13"/>
        <v>21</v>
      </c>
      <c r="B24" s="2">
        <v>0</v>
      </c>
      <c r="C24" s="1">
        <f t="shared" si="14"/>
        <v>2041</v>
      </c>
      <c r="D24" s="7">
        <f>$D$2*(1+Input_values!$B$4)^(A24)</f>
        <v>300045461.91030335</v>
      </c>
      <c r="E24" s="3">
        <f>E23+($E$33-$E$23)/10</f>
        <v>0.64700000000000002</v>
      </c>
      <c r="F24" s="7">
        <f t="shared" si="9"/>
        <v>12933911.665509926</v>
      </c>
      <c r="G24" s="33">
        <f>D24*Input_values!$B$5*((1+Input_values!$B$6)^A24)</f>
        <v>19990589.90032446</v>
      </c>
      <c r="H24" s="112">
        <f t="shared" si="4"/>
        <v>6.6625203304359643E-2</v>
      </c>
      <c r="I24" s="33">
        <f t="shared" si="12"/>
        <v>1202914.5487552488</v>
      </c>
      <c r="J24" s="34">
        <f t="shared" si="10"/>
        <v>124238914.07047425</v>
      </c>
      <c r="K24" s="34">
        <f t="shared" si="0"/>
        <v>124238914.07047425</v>
      </c>
      <c r="L24" s="25">
        <f t="shared" si="5"/>
        <v>0.4140669659840237</v>
      </c>
      <c r="M24" s="7">
        <f t="shared" si="1"/>
        <v>7056678.234814534</v>
      </c>
      <c r="N24" s="17">
        <f t="shared" si="11"/>
        <v>0.5859330340159763</v>
      </c>
      <c r="O24" s="34">
        <f t="shared" si="2"/>
        <v>175806547.83982909</v>
      </c>
      <c r="P24" s="7">
        <f>O24*(Input_values!$B$7*(1+Input_values!$B$8)^A24)/(Input_values!$B$13*(1+Input_values!$B$14)^A24)</f>
        <v>75180702895.405396</v>
      </c>
      <c r="Q24" s="7">
        <f>P24*Input_values!$B$10</f>
        <v>668130906.63146782</v>
      </c>
      <c r="R24" s="17">
        <f>Input_values!L58+Input_values!N58</f>
        <v>0.52393292051979379</v>
      </c>
      <c r="S24" s="32">
        <f>J24*Input_values!$B$7</f>
        <v>1431287896048.0493</v>
      </c>
      <c r="T24" s="7">
        <f>S24*Input_values!$B$11</f>
        <v>415073489853.93427</v>
      </c>
      <c r="U24" s="7">
        <f t="shared" si="6"/>
        <v>197602824084.41949</v>
      </c>
      <c r="V24" s="7">
        <f>U24*0.00045*model_energy_weight_us_ca!J35</f>
        <v>112120763.68995364</v>
      </c>
      <c r="W24" s="7">
        <f>P24*Input_values!$B$18</f>
        <v>101525631.25988877</v>
      </c>
      <c r="X24" s="7">
        <f t="shared" si="7"/>
        <v>881777301.58131027</v>
      </c>
      <c r="Y24" s="32">
        <f>Input_values!$G$16/2</f>
        <v>697616532.42611539</v>
      </c>
      <c r="Z24" s="142">
        <f>Input_values!$G$16</f>
        <v>1395233064.8522308</v>
      </c>
      <c r="AA24">
        <v>756062432.24135876</v>
      </c>
    </row>
    <row r="25" spans="1:27" x14ac:dyDescent="0.3">
      <c r="A25" s="1">
        <f t="shared" si="13"/>
        <v>22</v>
      </c>
      <c r="B25" s="2">
        <v>0</v>
      </c>
      <c r="C25" s="1">
        <f t="shared" si="14"/>
        <v>2042</v>
      </c>
      <c r="D25" s="7">
        <f>$D$2*(1+Input_values!$B$4)^(A25)</f>
        <v>302445825.60558575</v>
      </c>
      <c r="E25" s="3">
        <f t="shared" ref="E25:E32" si="15">E24+($E$33-$E$23)/10</f>
        <v>0.66400000000000003</v>
      </c>
      <c r="F25" s="7">
        <f t="shared" si="9"/>
        <v>13446841.415902792</v>
      </c>
      <c r="G25" s="33">
        <f>D25*Input_values!$B$5*((1+Input_values!$B$6)^A25)</f>
        <v>20251267.192624684</v>
      </c>
      <c r="H25" s="112">
        <f t="shared" si="4"/>
        <v>6.695832932088143E-2</v>
      </c>
      <c r="I25" s="33">
        <f t="shared" si="12"/>
        <v>1787280.8132241585</v>
      </c>
      <c r="J25" s="34">
        <f t="shared" si="10"/>
        <v>135898474.67315286</v>
      </c>
      <c r="K25" s="34">
        <f t="shared" si="0"/>
        <v>135898474.67315286</v>
      </c>
      <c r="L25" s="25">
        <f t="shared" si="5"/>
        <v>0.44933162625420281</v>
      </c>
      <c r="M25" s="7">
        <f t="shared" si="1"/>
        <v>6804425.7767218929</v>
      </c>
      <c r="N25" s="17">
        <f t="shared" si="11"/>
        <v>0.55066837374579714</v>
      </c>
      <c r="O25" s="34">
        <f t="shared" si="2"/>
        <v>166547350.93243289</v>
      </c>
      <c r="P25" s="7">
        <f>O25*(Input_values!$B$7*(1+Input_values!$B$8)^A25)/(Input_values!$B$13*(1+Input_values!$B$14)^A25)</f>
        <v>70627889345.517319</v>
      </c>
      <c r="Q25" s="7">
        <f>P25*Input_values!$B$10</f>
        <v>627670052.61361241</v>
      </c>
      <c r="R25" s="17">
        <f>Input_values!L59+Input_values!N59</f>
        <v>0.52351192181306005</v>
      </c>
      <c r="S25" s="32">
        <f>J25*Input_values!$B$7</f>
        <v>1565611252692.8623</v>
      </c>
      <c r="T25" s="7">
        <f>S25*Input_values!$B$11</f>
        <v>454027263280.93005</v>
      </c>
      <c r="U25" s="7">
        <f t="shared" si="6"/>
        <v>216338578125.20618</v>
      </c>
      <c r="V25" s="7">
        <f>U25*0.00045*model_energy_weight_us_ca!J36</f>
        <v>122371373.79265596</v>
      </c>
      <c r="W25" s="7">
        <f>P25*Input_values!$B$18</f>
        <v>95377414.339064911</v>
      </c>
      <c r="X25" s="7">
        <f t="shared" si="7"/>
        <v>845418840.74533331</v>
      </c>
      <c r="Y25" s="32">
        <f>Input_values!$G$16/2</f>
        <v>697616532.42611539</v>
      </c>
      <c r="Z25" s="142">
        <f>Input_values!$G$16</f>
        <v>1395233064.8522308</v>
      </c>
      <c r="AA25">
        <v>722201478.68603885</v>
      </c>
    </row>
    <row r="26" spans="1:27" x14ac:dyDescent="0.3">
      <c r="A26" s="1">
        <f t="shared" si="13"/>
        <v>23</v>
      </c>
      <c r="B26" s="2">
        <v>0</v>
      </c>
      <c r="C26" s="1">
        <f t="shared" si="14"/>
        <v>2043</v>
      </c>
      <c r="D26" s="7">
        <f>$D$2*(1+Input_values!$B$4)^(A26)</f>
        <v>304865392.2104305</v>
      </c>
      <c r="E26" s="3">
        <f t="shared" si="15"/>
        <v>0.68100000000000005</v>
      </c>
      <c r="F26" s="7">
        <f t="shared" si="9"/>
        <v>13970949.071152044</v>
      </c>
      <c r="G26" s="33">
        <f>D26*Input_values!$B$5*((1+Input_values!$B$6)^A26)</f>
        <v>20515343.716816511</v>
      </c>
      <c r="H26" s="112">
        <f t="shared" si="4"/>
        <v>6.7293120967485826E-2</v>
      </c>
      <c r="I26" s="33">
        <f t="shared" si="12"/>
        <v>2304383.3973091287</v>
      </c>
      <c r="J26" s="34">
        <f t="shared" si="10"/>
        <v>147565040.34699577</v>
      </c>
      <c r="K26" s="34">
        <f t="shared" si="0"/>
        <v>147565040.34699577</v>
      </c>
      <c r="L26" s="25">
        <f t="shared" si="5"/>
        <v>0.48403342628388718</v>
      </c>
      <c r="M26" s="7">
        <f t="shared" si="1"/>
        <v>6544394.6456644656</v>
      </c>
      <c r="N26" s="17">
        <f t="shared" si="11"/>
        <v>0.51596657371611276</v>
      </c>
      <c r="O26" s="34">
        <f t="shared" si="2"/>
        <v>157300351.86343473</v>
      </c>
      <c r="P26" s="7">
        <f>O26*(Input_values!$B$7*(1+Input_values!$B$8)^A26)/(Input_values!$B$13*(1+Input_values!$B$14)^A26)</f>
        <v>66150838840.636696</v>
      </c>
      <c r="Q26" s="7">
        <f>P26*Input_values!$B$10</f>
        <v>587882504.77673841</v>
      </c>
      <c r="R26" s="17">
        <f>Input_values!L60+Input_values!N60</f>
        <v>0.52179441790917702</v>
      </c>
      <c r="S26" s="32">
        <f>J26*Input_values!$B$7</f>
        <v>1700015310892.7673</v>
      </c>
      <c r="T26" s="7">
        <f>S26*Input_values!$B$11</f>
        <v>493004440158.90247</v>
      </c>
      <c r="U26" s="7">
        <f t="shared" si="6"/>
        <v>235757475279.54825</v>
      </c>
      <c r="V26" s="7">
        <f>U26*0.00045*model_energy_weight_us_ca!J37</f>
        <v>132516096.54023112</v>
      </c>
      <c r="W26" s="7">
        <f>P26*Input_values!$B$18</f>
        <v>89331509.456760496</v>
      </c>
      <c r="X26" s="7">
        <f t="shared" si="7"/>
        <v>809730110.77373004</v>
      </c>
      <c r="Y26" s="32">
        <f>Input_values!$G$16/2</f>
        <v>697616532.42611539</v>
      </c>
      <c r="Z26" s="142">
        <f>Input_values!$G$16</f>
        <v>1395233064.8522308</v>
      </c>
      <c r="AA26">
        <v>689572627.99996567</v>
      </c>
    </row>
    <row r="27" spans="1:27" x14ac:dyDescent="0.3">
      <c r="A27" s="1">
        <f t="shared" si="13"/>
        <v>24</v>
      </c>
      <c r="B27" s="2">
        <v>0</v>
      </c>
      <c r="C27" s="1">
        <f t="shared" si="14"/>
        <v>2044</v>
      </c>
      <c r="D27" s="7">
        <f>$D$2*(1+Input_values!$B$4)^(A27)</f>
        <v>307304315.34811395</v>
      </c>
      <c r="E27" s="3">
        <f t="shared" si="15"/>
        <v>0.69800000000000006</v>
      </c>
      <c r="F27" s="7">
        <f t="shared" si="9"/>
        <v>14506438.931620896</v>
      </c>
      <c r="G27" s="33">
        <f>D27*Input_values!$B$5*((1+Input_values!$B$6)^A27)</f>
        <v>20782863.798883803</v>
      </c>
      <c r="H27" s="112">
        <f t="shared" si="4"/>
        <v>6.7629586572323264E-2</v>
      </c>
      <c r="I27" s="33">
        <f t="shared" si="12"/>
        <v>3001413.2873271941</v>
      </c>
      <c r="J27" s="34">
        <f t="shared" si="10"/>
        <v>159070065.99128947</v>
      </c>
      <c r="K27" s="34">
        <f t="shared" si="0"/>
        <v>159070065.99128947</v>
      </c>
      <c r="L27" s="25">
        <f t="shared" si="5"/>
        <v>0.51763043356906679</v>
      </c>
      <c r="M27" s="7">
        <f t="shared" si="1"/>
        <v>6276424.8672629073</v>
      </c>
      <c r="N27" s="17">
        <f t="shared" si="11"/>
        <v>0.48236956643093321</v>
      </c>
      <c r="O27" s="34">
        <f t="shared" si="2"/>
        <v>148234249.35682449</v>
      </c>
      <c r="P27" s="7">
        <f>O27*(Input_values!$B$7*(1+Input_values!$B$8)^A27)/(Input_values!$B$13*(1+Input_values!$B$14)^A27)</f>
        <v>61818915674.984901</v>
      </c>
      <c r="Q27" s="7">
        <f>P27*Input_values!$B$10</f>
        <v>549384703.60359085</v>
      </c>
      <c r="R27" s="17">
        <f>Input_values!L61+Input_values!N61</f>
        <v>0.52156307365949317</v>
      </c>
      <c r="S27" s="32">
        <f>J27*Input_values!$B$7</f>
        <v>1832558355651.345</v>
      </c>
      <c r="T27" s="7">
        <f>S27*Input_values!$B$11</f>
        <v>531441923138.89001</v>
      </c>
      <c r="U27" s="7">
        <f>T27*(1-R27)</f>
        <v>254261440235.05841</v>
      </c>
      <c r="V27" s="7">
        <f>U27*0.00045*model_energy_weight_us_ca!J38</f>
        <v>142245157.46709776</v>
      </c>
      <c r="W27" s="7">
        <f>P27*Input_values!$B$18</f>
        <v>83481587.641397804</v>
      </c>
      <c r="X27" s="7">
        <f t="shared" si="7"/>
        <v>775111448.71208644</v>
      </c>
      <c r="Y27" s="32">
        <f>Input_values!$G$16/2</f>
        <v>697616532.42611539</v>
      </c>
      <c r="Z27" s="142">
        <f>Input_values!$G$16</f>
        <v>1395233064.8522308</v>
      </c>
      <c r="AA27">
        <v>658420413.83332825</v>
      </c>
    </row>
    <row r="28" spans="1:27" x14ac:dyDescent="0.3">
      <c r="A28" s="1">
        <f t="shared" si="13"/>
        <v>25</v>
      </c>
      <c r="B28" s="2">
        <v>0</v>
      </c>
      <c r="C28" s="1">
        <f t="shared" si="14"/>
        <v>2045</v>
      </c>
      <c r="D28" s="7">
        <f>$D$2*(1+Input_values!$B$4)^(A28)</f>
        <v>309762749.87089884</v>
      </c>
      <c r="E28" s="3">
        <f t="shared" si="15"/>
        <v>0.71500000000000008</v>
      </c>
      <c r="F28" s="7">
        <f t="shared" si="9"/>
        <v>15053518.725117188</v>
      </c>
      <c r="G28" s="33">
        <f>D28*Input_values!$B$5*((1+Input_values!$B$6)^A28)</f>
        <v>21053872.34282124</v>
      </c>
      <c r="H28" s="112">
        <f t="shared" si="4"/>
        <v>6.7967734505184868E-2</v>
      </c>
      <c r="I28" s="33">
        <f t="shared" si="12"/>
        <v>3716229.8758370383</v>
      </c>
      <c r="J28" s="34">
        <f t="shared" si="10"/>
        <v>170407354.84056962</v>
      </c>
      <c r="K28" s="34">
        <f t="shared" si="0"/>
        <v>170407354.84056962</v>
      </c>
      <c r="L28" s="25">
        <f t="shared" si="5"/>
        <v>0.55012216579169393</v>
      </c>
      <c r="M28" s="7">
        <f t="shared" si="1"/>
        <v>6000353.6177040515</v>
      </c>
      <c r="N28" s="17">
        <f t="shared" si="11"/>
        <v>0.44987783420830607</v>
      </c>
      <c r="O28" s="34">
        <f t="shared" si="2"/>
        <v>139355395.03032923</v>
      </c>
      <c r="P28" s="7">
        <f>O28*(Input_values!$B$7*(1+Input_values!$B$8)^A28)/(Input_values!$B$13*(1+Input_values!$B$14)^A28)</f>
        <v>57632011043.169853</v>
      </c>
      <c r="Q28" s="7">
        <f>P28*Input_values!$B$10</f>
        <v>512175682.14065051</v>
      </c>
      <c r="R28" s="17">
        <f>Input_values!L62+Input_values!N62</f>
        <v>0.52154159557871671</v>
      </c>
      <c r="S28" s="32">
        <f>J28*Input_values!$B$7</f>
        <v>1963168997456.9431</v>
      </c>
      <c r="T28" s="7">
        <f>S28*Input_values!$B$11</f>
        <v>569319009262.51343</v>
      </c>
      <c r="U28" s="7">
        <f t="shared" si="6"/>
        <v>272395464778.44797</v>
      </c>
      <c r="V28" s="7">
        <f>U28*0.00045*model_energy_weight_us_ca!J39</f>
        <v>151327945.17254284</v>
      </c>
      <c r="W28" s="7">
        <f>P28*Input_values!$B$18</f>
        <v>77827501.959845155</v>
      </c>
      <c r="X28" s="7">
        <f t="shared" si="7"/>
        <v>741331129.27303851</v>
      </c>
      <c r="Y28" s="32">
        <f>Input_values!$G$16/2</f>
        <v>697616532.42611539</v>
      </c>
      <c r="Z28" s="142">
        <f>Input_values!$G$16</f>
        <v>1395233064.8522308</v>
      </c>
      <c r="AA28">
        <v>628474132.01137626</v>
      </c>
    </row>
    <row r="29" spans="1:27" x14ac:dyDescent="0.3">
      <c r="A29" s="1">
        <f t="shared" si="13"/>
        <v>26</v>
      </c>
      <c r="B29" s="2">
        <v>0</v>
      </c>
      <c r="C29" s="1">
        <f t="shared" si="14"/>
        <v>2046</v>
      </c>
      <c r="D29" s="7">
        <f>$D$2*(1+Input_values!$B$4)^(A29)</f>
        <v>312240851.86986607</v>
      </c>
      <c r="E29" s="3">
        <f t="shared" si="15"/>
        <v>0.7320000000000001</v>
      </c>
      <c r="F29" s="7">
        <f t="shared" si="9"/>
        <v>15612399.661541635</v>
      </c>
      <c r="G29" s="33">
        <f>D29*Input_values!$B$5*((1+Input_values!$B$6)^A29)</f>
        <v>21328414.838171631</v>
      </c>
      <c r="H29" s="112">
        <f t="shared" si="4"/>
        <v>6.8307573177710787E-2</v>
      </c>
      <c r="I29" s="33">
        <f t="shared" si="12"/>
        <v>4449178.515857582</v>
      </c>
      <c r="J29" s="34">
        <f t="shared" si="10"/>
        <v>181570575.98625368</v>
      </c>
      <c r="K29" s="34">
        <f t="shared" si="0"/>
        <v>181570575.98625368</v>
      </c>
      <c r="L29" s="25">
        <f t="shared" si="5"/>
        <v>0.58150807269103788</v>
      </c>
      <c r="M29" s="7">
        <f t="shared" si="1"/>
        <v>5716015.176629995</v>
      </c>
      <c r="N29" s="17">
        <f t="shared" si="11"/>
        <v>0.41849192730896212</v>
      </c>
      <c r="O29" s="34">
        <f t="shared" si="2"/>
        <v>130670275.88361239</v>
      </c>
      <c r="P29" s="7">
        <f>O29*(Input_values!$B$7*(1+Input_values!$B$8)^A29)/(Input_values!$B$13*(1+Input_values!$B$14)^A29)</f>
        <v>53590024876.949982</v>
      </c>
      <c r="Q29" s="7">
        <f>P29*Input_values!$B$10</f>
        <v>476254551.08145452</v>
      </c>
      <c r="R29" s="17">
        <f>Input_values!L63+Input_values!N63</f>
        <v>0.52439646772857373</v>
      </c>
      <c r="S29" s="32">
        <f>J29*Input_values!$B$7</f>
        <v>2091774301409.1484</v>
      </c>
      <c r="T29" s="7">
        <f>S29*Input_values!$B$11</f>
        <v>606614547408.65295</v>
      </c>
      <c r="U29" s="7">
        <f t="shared" si="6"/>
        <v>288508021474.7879</v>
      </c>
      <c r="V29" s="7">
        <f>U29*0.00045*model_energy_weight_us_ca!J40</f>
        <v>159917769.74223357</v>
      </c>
      <c r="W29" s="7">
        <f>P29*Input_values!$B$18</f>
        <v>72369117.277806103</v>
      </c>
      <c r="X29" s="7">
        <f t="shared" si="7"/>
        <v>708541438.10149407</v>
      </c>
      <c r="Y29" s="32">
        <f>Input_values!$G$16/2</f>
        <v>697616532.42611539</v>
      </c>
      <c r="Z29" s="142">
        <f>Input_values!$G$16</f>
        <v>1395233064.8522308</v>
      </c>
      <c r="AA29">
        <v>599847716.21190631</v>
      </c>
    </row>
    <row r="30" spans="1:27" x14ac:dyDescent="0.3">
      <c r="A30" s="1">
        <f t="shared" si="13"/>
        <v>27</v>
      </c>
      <c r="B30" s="2">
        <v>0</v>
      </c>
      <c r="C30" s="1">
        <f t="shared" si="14"/>
        <v>2047</v>
      </c>
      <c r="D30" s="7">
        <f>$D$2*(1+Input_values!$B$4)^(A30)</f>
        <v>314738778.68482506</v>
      </c>
      <c r="E30" s="3">
        <f t="shared" si="15"/>
        <v>0.74900000000000011</v>
      </c>
      <c r="F30" s="7">
        <f t="shared" si="9"/>
        <v>16183296.488378383</v>
      </c>
      <c r="G30" s="33">
        <f>D30*Input_values!$B$5*((1+Input_values!$B$6)^A30)</f>
        <v>21606537.36766139</v>
      </c>
      <c r="H30" s="112">
        <f t="shared" si="4"/>
        <v>6.8649111043599331E-2</v>
      </c>
      <c r="I30" s="33">
        <f t="shared" si="12"/>
        <v>5200610.5427358048</v>
      </c>
      <c r="J30" s="34">
        <f t="shared" si="10"/>
        <v>192553261.93189624</v>
      </c>
      <c r="K30" s="34">
        <f t="shared" si="0"/>
        <v>192553261.93189624</v>
      </c>
      <c r="L30" s="25">
        <f t="shared" si="5"/>
        <v>0.61178753611647052</v>
      </c>
      <c r="M30" s="7">
        <f t="shared" si="1"/>
        <v>5423240.8792830063</v>
      </c>
      <c r="N30" s="17">
        <f t="shared" si="11"/>
        <v>0.38821246388352948</v>
      </c>
      <c r="O30" s="34">
        <f t="shared" si="2"/>
        <v>122185516.75292882</v>
      </c>
      <c r="P30" s="7">
        <f>O30*(Input_values!$B$7*(1+Input_values!$B$8)^A30)/(Input_values!$B$13*(1+Input_values!$B$14)^A30)</f>
        <v>49692865821.230034</v>
      </c>
      <c r="Q30" s="7">
        <f>P30*Input_values!$B$10</f>
        <v>441620498.55327135</v>
      </c>
      <c r="R30" s="17">
        <f>Input_values!L64+Input_values!N64</f>
        <v>0.52791205545836828</v>
      </c>
      <c r="S30" s="32">
        <f>J30*Input_values!$B$7</f>
        <v>2218299759054.2339</v>
      </c>
      <c r="T30" s="7">
        <f>S30*Input_values!$B$11</f>
        <v>643306930125.72778</v>
      </c>
      <c r="U30" s="7">
        <f t="shared" si="6"/>
        <v>303697446352.44196</v>
      </c>
      <c r="V30" s="7">
        <f>U30*0.00045*model_energy_weight_us_ca!J41</f>
        <v>167983312.89181453</v>
      </c>
      <c r="W30" s="7">
        <f>P30*Input_values!$B$18</f>
        <v>67106310.227403536</v>
      </c>
      <c r="X30" s="7">
        <f t="shared" si="7"/>
        <v>676710121.6724894</v>
      </c>
      <c r="Y30" s="32">
        <f>Input_values!$G$16/2</f>
        <v>697616532.42611539</v>
      </c>
      <c r="Z30" s="142">
        <f>Input_values!$G$16</f>
        <v>1395233064.8522308</v>
      </c>
      <c r="AA30">
        <v>572471175.91932678</v>
      </c>
    </row>
    <row r="31" spans="1:27" x14ac:dyDescent="0.3">
      <c r="A31" s="1">
        <f t="shared" si="13"/>
        <v>28</v>
      </c>
      <c r="B31" s="2">
        <v>0</v>
      </c>
      <c r="C31" s="1">
        <f t="shared" si="14"/>
        <v>2048</v>
      </c>
      <c r="D31" s="7">
        <f>$D$2*(1+Input_values!$B$4)^(A31)</f>
        <v>317256688.91430366</v>
      </c>
      <c r="E31" s="3">
        <f t="shared" si="15"/>
        <v>0.76600000000000013</v>
      </c>
      <c r="F31" s="7">
        <f t="shared" si="9"/>
        <v>16766427.54704074</v>
      </c>
      <c r="G31" s="33">
        <f>D31*Input_values!$B$5*((1+Input_values!$B$6)^A31)</f>
        <v>21888286.614935689</v>
      </c>
      <c r="H31" s="112">
        <f t="shared" si="4"/>
        <v>6.8992356598817306E-2</v>
      </c>
      <c r="I31" s="33">
        <f t="shared" si="12"/>
        <v>5514286.4077430228</v>
      </c>
      <c r="J31" s="34">
        <f t="shared" si="10"/>
        <v>203805403.07119393</v>
      </c>
      <c r="K31" s="34">
        <f t="shared" si="0"/>
        <v>203805403.07119393</v>
      </c>
      <c r="L31" s="25">
        <f t="shared" si="5"/>
        <v>0.64239907366065085</v>
      </c>
      <c r="M31" s="7">
        <f t="shared" si="1"/>
        <v>5121859.0678949486</v>
      </c>
      <c r="N31" s="17">
        <f t="shared" si="11"/>
        <v>0.35760092633934915</v>
      </c>
      <c r="O31" s="34">
        <f t="shared" si="2"/>
        <v>113451285.84310973</v>
      </c>
      <c r="P31" s="7">
        <f>O31*(Input_values!$B$7*(1+Input_values!$B$8)^A31)/(Input_values!$B$13*(1+Input_values!$B$14)^A31)</f>
        <v>45756300034.898689</v>
      </c>
      <c r="Q31" s="7">
        <f>P31*Input_values!$B$10</f>
        <v>406636238.41014469</v>
      </c>
      <c r="R31" s="17">
        <f>Input_values!L65+Input_values!N65</f>
        <v>0.52871631044500045</v>
      </c>
      <c r="S31" s="32">
        <f>J31*Input_values!$B$7</f>
        <v>2347929461131.0366</v>
      </c>
      <c r="T31" s="7">
        <f>S31*Input_values!$B$11</f>
        <v>680899543728.00061</v>
      </c>
      <c r="U31" s="7">
        <f t="shared" si="6"/>
        <v>320896849184.44788</v>
      </c>
      <c r="V31" s="7">
        <f>U31*0.00045*model_energy_weight_us_ca!J42</f>
        <v>177197707.78527963</v>
      </c>
      <c r="W31" s="7">
        <f>P31*Input_values!$B$18</f>
        <v>61790287.484048806</v>
      </c>
      <c r="X31" s="7">
        <f t="shared" si="7"/>
        <v>645624233.67947316</v>
      </c>
      <c r="Y31" s="32">
        <f>Input_values!$G$16/2</f>
        <v>697616532.42611539</v>
      </c>
      <c r="Z31" s="142">
        <f>Input_values!$G$16</f>
        <v>1395233064.8522308</v>
      </c>
      <c r="AA31">
        <v>546493393.84950197</v>
      </c>
    </row>
    <row r="32" spans="1:27" x14ac:dyDescent="0.3">
      <c r="A32" s="1">
        <f t="shared" si="13"/>
        <v>29</v>
      </c>
      <c r="B32" s="2">
        <v>0</v>
      </c>
      <c r="C32" s="1">
        <f t="shared" si="14"/>
        <v>2049</v>
      </c>
      <c r="D32" s="7">
        <f>$D$2*(1+Input_values!$B$4)^(A32)</f>
        <v>319794742.42561805</v>
      </c>
      <c r="E32" s="3">
        <f t="shared" si="15"/>
        <v>0.78300000000000014</v>
      </c>
      <c r="F32" s="7">
        <f t="shared" si="9"/>
        <v>17362014.830084853</v>
      </c>
      <c r="G32" s="33">
        <f>D32*Input_values!$B$5*((1+Input_values!$B$6)^A32)</f>
        <v>22173709.872394443</v>
      </c>
      <c r="H32" s="112">
        <f t="shared" si="4"/>
        <v>6.9337318381811383E-2</v>
      </c>
      <c r="I32" s="33">
        <f t="shared" si="12"/>
        <v>6368971.2977547655</v>
      </c>
      <c r="J32" s="34">
        <f t="shared" si="10"/>
        <v>214798446.60352403</v>
      </c>
      <c r="K32" s="34">
        <f t="shared" si="0"/>
        <v>214798446.60352403</v>
      </c>
      <c r="L32" s="25">
        <f t="shared" si="5"/>
        <v>0.67167597870526152</v>
      </c>
      <c r="M32" s="7">
        <f t="shared" si="1"/>
        <v>4811695.0423095906</v>
      </c>
      <c r="N32" s="17">
        <f t="shared" si="11"/>
        <v>0.32832402129473848</v>
      </c>
      <c r="O32" s="34">
        <f t="shared" si="2"/>
        <v>104996295.82209402</v>
      </c>
      <c r="P32" s="7">
        <f>O32*(Input_values!$B$7*(1+Input_values!$B$8)^A32)/(Input_values!$B$13*(1+Input_values!$B$14)^A32)</f>
        <v>41993552646.028809</v>
      </c>
      <c r="Q32" s="7">
        <f>P32*Input_values!$B$10</f>
        <v>373196702.36525804</v>
      </c>
      <c r="R32" s="17">
        <f>Input_values!L66+Input_values!N66</f>
        <v>0.52950206273940503</v>
      </c>
      <c r="S32" s="32">
        <f>J32*Input_values!$B$7</f>
        <v>2474574242810.5366</v>
      </c>
      <c r="T32" s="7">
        <f>S32*Input_values!$B$11</f>
        <v>717626530415.05554</v>
      </c>
      <c r="U32" s="7">
        <f t="shared" si="6"/>
        <v>337641802283.76123</v>
      </c>
      <c r="V32" s="7">
        <f>U32*0.00045*model_energy_weight_us_ca!J43</f>
        <v>186053821.01374874</v>
      </c>
      <c r="W32" s="7">
        <f>P32*Input_values!$B$18</f>
        <v>56708992.827120833</v>
      </c>
      <c r="X32" s="7">
        <f t="shared" si="7"/>
        <v>615959516.20612752</v>
      </c>
      <c r="Y32" s="32">
        <f>Input_values!$G$16/2</f>
        <v>697616532.42611539</v>
      </c>
      <c r="Z32" s="142">
        <f>Input_values!$G$16</f>
        <v>1395233064.8522308</v>
      </c>
      <c r="AA32">
        <v>522114605.50302404</v>
      </c>
    </row>
    <row r="33" spans="1:27" x14ac:dyDescent="0.3">
      <c r="A33" s="1">
        <f t="shared" si="13"/>
        <v>30</v>
      </c>
      <c r="B33" s="2">
        <v>0</v>
      </c>
      <c r="C33" s="1">
        <f t="shared" si="14"/>
        <v>2050</v>
      </c>
      <c r="D33" s="7">
        <f>$D$2*(1+Input_values!$B$4)^(A33)</f>
        <v>322353100.36502302</v>
      </c>
      <c r="E33" s="3">
        <f>Input_values!B16</f>
        <v>0.8</v>
      </c>
      <c r="F33" s="7">
        <f t="shared" si="9"/>
        <v>17970284.039304372</v>
      </c>
      <c r="G33" s="33">
        <f>D33*Input_values!$B$5*((1+Input_values!$B$6)^A33)</f>
        <v>22462855.049130466</v>
      </c>
      <c r="H33" s="13">
        <f t="shared" si="4"/>
        <v>6.9684004973720431E-2</v>
      </c>
      <c r="I33" s="33">
        <f t="shared" si="12"/>
        <v>7245008.7116143843</v>
      </c>
      <c r="J33" s="34">
        <f t="shared" si="10"/>
        <v>225523721.93121403</v>
      </c>
      <c r="K33" s="34">
        <f t="shared" si="0"/>
        <v>225523721.93121403</v>
      </c>
      <c r="L33" s="25">
        <f t="shared" si="5"/>
        <v>0.69961704005898406</v>
      </c>
      <c r="M33" s="7">
        <f t="shared" si="1"/>
        <v>4492571.009826092</v>
      </c>
      <c r="N33" s="17">
        <f t="shared" si="11"/>
        <v>0.30038295994101594</v>
      </c>
      <c r="O33" s="34">
        <f t="shared" si="2"/>
        <v>96829378.433808982</v>
      </c>
      <c r="P33" s="7">
        <f>O33*(Input_values!$B$7*(1+Input_values!$B$8)^A33)/(Input_values!$B$13*(1+Input_values!$B$14)^A33)</f>
        <v>38404573518.417206</v>
      </c>
      <c r="Q33" s="7">
        <f>P33*Input_values!$B$10</f>
        <v>341301444.85817373</v>
      </c>
      <c r="R33" s="17">
        <f>Input_values!L67+Input_values!N67</f>
        <v>0.52973073007814242</v>
      </c>
      <c r="S33" s="32">
        <f>J33*Input_values!$B$7</f>
        <v>2598134214926.8228</v>
      </c>
      <c r="T33" s="7">
        <f>S33*Input_values!$B$11</f>
        <v>753458922328.77856</v>
      </c>
      <c r="U33" s="7">
        <f t="shared" si="6"/>
        <v>354328577319.66431</v>
      </c>
      <c r="V33" s="7">
        <f>U33*0.00045*model_energy_weight_us_ca!J44</f>
        <v>194523051.30000055</v>
      </c>
      <c r="W33" s="7">
        <f>P33*Input_values!$B$18</f>
        <v>51862358.551617123</v>
      </c>
      <c r="X33" s="7">
        <f t="shared" si="7"/>
        <v>587686854.70979142</v>
      </c>
      <c r="Y33" s="32">
        <f>Input_values!$G$16/2</f>
        <v>697616532.42611539</v>
      </c>
      <c r="Z33" s="142">
        <f>Input_values!$G$16</f>
        <v>1395233064.8522308</v>
      </c>
      <c r="AA33">
        <v>499263463.16113597</v>
      </c>
    </row>
    <row r="34" spans="1:27" x14ac:dyDescent="0.3">
      <c r="J34" s="24"/>
      <c r="K34" s="24"/>
      <c r="R34" s="17"/>
      <c r="T34" s="23"/>
    </row>
    <row r="35" spans="1:27" ht="18" x14ac:dyDescent="0.35">
      <c r="A35" s="8"/>
      <c r="B35" s="8"/>
      <c r="C35" s="5"/>
      <c r="E35" s="5"/>
      <c r="F35" s="6"/>
      <c r="J35" s="24"/>
      <c r="K35" s="24"/>
      <c r="L35" s="5"/>
      <c r="M35" s="5"/>
      <c r="N35" s="42"/>
      <c r="O35" s="23"/>
      <c r="P35" s="5"/>
      <c r="Q35" s="5"/>
      <c r="R35" s="17"/>
    </row>
    <row r="36" spans="1:27" x14ac:dyDescent="0.3">
      <c r="A36" s="9"/>
      <c r="B36" s="9"/>
      <c r="C36" s="9"/>
      <c r="D36" s="93"/>
      <c r="E36" s="9"/>
      <c r="F36" s="6"/>
      <c r="G36" s="95"/>
      <c r="H36" s="95"/>
      <c r="I36" s="97"/>
      <c r="J36" s="11"/>
      <c r="K36" s="11"/>
      <c r="L36" s="9"/>
      <c r="M36" s="9"/>
      <c r="N36" s="9"/>
      <c r="O36" s="93"/>
      <c r="P36" s="9"/>
      <c r="Q36" s="7"/>
      <c r="R36" s="10"/>
    </row>
    <row r="37" spans="1:27" x14ac:dyDescent="0.3">
      <c r="A37" s="87" t="s">
        <v>86</v>
      </c>
      <c r="B37" s="9"/>
      <c r="D37" s="94"/>
      <c r="E37" s="6"/>
      <c r="F37" s="6"/>
      <c r="G37" s="95"/>
      <c r="H37" s="95"/>
      <c r="I37" s="96"/>
      <c r="J37" s="12"/>
      <c r="K37" s="12"/>
      <c r="L37" s="16"/>
      <c r="M37" s="16"/>
      <c r="N37" s="6"/>
      <c r="O37" s="94"/>
      <c r="P37" s="6"/>
      <c r="Q37" s="6"/>
      <c r="R37" s="6"/>
    </row>
    <row r="38" spans="1:27" x14ac:dyDescent="0.3">
      <c r="A38" s="5"/>
      <c r="B38" s="5"/>
      <c r="C38" s="5"/>
      <c r="D38" s="94"/>
      <c r="F38" s="6"/>
      <c r="G38" s="95"/>
      <c r="H38" s="95"/>
      <c r="I38" s="96"/>
      <c r="J38" s="12"/>
      <c r="K38" s="12"/>
      <c r="L38" s="16"/>
      <c r="M38" s="16"/>
      <c r="Q38" s="6"/>
      <c r="R38" s="6"/>
    </row>
    <row r="39" spans="1:27" x14ac:dyDescent="0.3">
      <c r="A39" s="5"/>
      <c r="B39" s="5"/>
      <c r="C39" s="5"/>
      <c r="D39" s="94"/>
      <c r="E39" s="6"/>
      <c r="F39" s="6"/>
      <c r="G39" s="95"/>
      <c r="H39" s="95"/>
      <c r="I39" s="16"/>
      <c r="J39" s="12"/>
      <c r="K39" s="12"/>
      <c r="L39" s="16"/>
      <c r="M39" s="16"/>
      <c r="N39" s="6"/>
      <c r="O39" s="94"/>
      <c r="P39" s="6"/>
      <c r="Q39" s="6"/>
      <c r="R39" s="6"/>
    </row>
    <row r="40" spans="1:27" x14ac:dyDescent="0.3">
      <c r="A40" s="5"/>
      <c r="B40" s="5"/>
      <c r="C40" s="5"/>
      <c r="D40" s="94"/>
      <c r="E40" s="6"/>
      <c r="F40" s="6"/>
      <c r="G40" s="95"/>
      <c r="H40" s="95"/>
      <c r="I40" s="16"/>
      <c r="J40" s="12"/>
      <c r="K40" s="12"/>
      <c r="L40" s="16"/>
      <c r="M40" s="16"/>
      <c r="N40" s="6"/>
      <c r="O40" s="94"/>
      <c r="P40" s="6"/>
      <c r="Q40" s="6"/>
      <c r="R40" s="6"/>
    </row>
    <row r="41" spans="1:27" x14ac:dyDescent="0.3">
      <c r="A41" s="5"/>
      <c r="B41" s="5"/>
      <c r="C41" s="5"/>
      <c r="D41" s="94"/>
      <c r="E41" s="6"/>
      <c r="F41" s="6"/>
      <c r="G41" s="95"/>
      <c r="H41" s="95"/>
      <c r="I41" s="16"/>
      <c r="J41" s="12"/>
      <c r="K41" s="12"/>
      <c r="L41" s="16"/>
      <c r="M41" s="16"/>
      <c r="N41" s="6"/>
      <c r="O41" s="94"/>
      <c r="P41" s="6"/>
      <c r="Q41" s="6"/>
      <c r="R41" s="6"/>
    </row>
    <row r="42" spans="1:27" x14ac:dyDescent="0.3">
      <c r="A42" s="5"/>
      <c r="B42" s="5"/>
      <c r="C42" s="5"/>
      <c r="D42" s="94"/>
      <c r="E42" s="6"/>
      <c r="F42" s="6"/>
      <c r="G42" s="95"/>
      <c r="H42" s="95"/>
      <c r="I42" s="16"/>
      <c r="J42" s="12"/>
      <c r="K42" s="12"/>
      <c r="L42" s="16"/>
      <c r="M42" s="16"/>
      <c r="N42" s="6"/>
      <c r="O42" s="94"/>
      <c r="P42" s="6"/>
      <c r="Q42" s="6"/>
      <c r="R42" s="6"/>
    </row>
    <row r="43" spans="1:27" x14ac:dyDescent="0.3">
      <c r="A43" s="5"/>
      <c r="B43" s="5"/>
      <c r="C43" s="5"/>
      <c r="D43" s="94"/>
      <c r="E43" s="6"/>
      <c r="F43" s="6"/>
      <c r="G43" s="95"/>
      <c r="H43" s="95"/>
      <c r="I43" s="16"/>
      <c r="J43" s="12"/>
      <c r="K43" s="12"/>
      <c r="L43" s="16"/>
      <c r="M43" s="16"/>
      <c r="N43" s="6"/>
      <c r="O43" s="94"/>
      <c r="P43" s="6"/>
      <c r="Q43" s="6"/>
      <c r="R43" s="6"/>
    </row>
    <row r="44" spans="1:27" x14ac:dyDescent="0.3">
      <c r="A44" s="5"/>
      <c r="B44" s="5"/>
      <c r="C44" s="5"/>
      <c r="D44" s="94"/>
      <c r="E44" s="6"/>
      <c r="F44" s="6"/>
      <c r="G44" s="95"/>
      <c r="H44" s="95"/>
      <c r="I44" s="16"/>
      <c r="J44" s="12"/>
      <c r="K44" s="12"/>
      <c r="L44" s="16"/>
      <c r="M44" s="16"/>
      <c r="N44" s="6"/>
      <c r="O44" s="94"/>
      <c r="P44" s="6"/>
      <c r="Q44" s="6"/>
      <c r="R44" s="6"/>
    </row>
    <row r="45" spans="1:27" x14ac:dyDescent="0.3">
      <c r="A45" s="5"/>
      <c r="B45" s="5"/>
      <c r="C45" s="5"/>
      <c r="D45" s="94"/>
      <c r="E45" s="6"/>
      <c r="F45" s="6"/>
      <c r="G45" s="95"/>
      <c r="H45" s="95"/>
      <c r="I45" s="96"/>
      <c r="J45" s="12"/>
      <c r="K45" s="12"/>
      <c r="L45" s="16"/>
      <c r="M45" s="16"/>
      <c r="N45" s="6"/>
      <c r="O45" s="94"/>
      <c r="P45" s="6"/>
      <c r="Q45" s="6"/>
      <c r="R45" s="6"/>
    </row>
    <row r="46" spans="1:27" x14ac:dyDescent="0.3">
      <c r="A46" s="5"/>
      <c r="B46" s="5"/>
      <c r="C46" s="5"/>
      <c r="D46" s="94"/>
      <c r="E46" s="6"/>
      <c r="F46" s="6"/>
      <c r="G46" s="95"/>
      <c r="H46" s="95"/>
      <c r="I46" s="96"/>
      <c r="J46" s="12"/>
      <c r="K46" s="12"/>
      <c r="L46" s="16"/>
      <c r="M46" s="16"/>
      <c r="N46" s="6"/>
      <c r="O46" s="94"/>
      <c r="P46" s="6"/>
      <c r="Q46" s="6"/>
      <c r="R46" s="6"/>
    </row>
    <row r="47" spans="1:27" x14ac:dyDescent="0.3">
      <c r="A47" s="5"/>
      <c r="B47" s="5"/>
      <c r="C47" s="5"/>
      <c r="D47" s="94"/>
      <c r="E47" s="6"/>
      <c r="F47" s="6"/>
      <c r="G47" s="95"/>
      <c r="H47" s="95"/>
      <c r="I47" s="96"/>
      <c r="J47" s="12"/>
      <c r="K47" s="12"/>
      <c r="L47" s="16"/>
      <c r="M47" s="16"/>
      <c r="N47" s="6"/>
      <c r="O47" s="94"/>
      <c r="P47" s="6"/>
      <c r="Q47" s="6"/>
      <c r="R47" s="6"/>
    </row>
    <row r="48" spans="1:27" x14ac:dyDescent="0.3">
      <c r="A48" s="5"/>
      <c r="B48" s="5"/>
      <c r="C48" s="5"/>
      <c r="D48" s="94"/>
      <c r="E48" s="6"/>
      <c r="F48" s="6"/>
      <c r="G48" s="95"/>
      <c r="H48" s="95"/>
      <c r="I48" s="96"/>
      <c r="J48" s="12"/>
      <c r="K48" s="12"/>
      <c r="L48" s="16"/>
      <c r="M48" s="16"/>
      <c r="N48" s="6"/>
      <c r="O48" s="94"/>
      <c r="P48" s="6"/>
      <c r="Q48" s="6"/>
      <c r="R48" s="6"/>
    </row>
    <row r="49" spans="1:18" x14ac:dyDescent="0.3">
      <c r="A49" s="5"/>
      <c r="B49" s="5"/>
      <c r="C49" s="5"/>
      <c r="D49" s="94"/>
      <c r="E49" s="6"/>
      <c r="F49" s="6"/>
      <c r="G49" s="95"/>
      <c r="H49" s="95"/>
      <c r="I49" s="96"/>
      <c r="J49" s="12"/>
      <c r="K49" s="12"/>
      <c r="L49" s="16"/>
      <c r="M49" s="16"/>
      <c r="N49" s="6"/>
      <c r="O49" s="94"/>
      <c r="P49" s="6"/>
      <c r="Q49" s="6"/>
      <c r="R49" s="6"/>
    </row>
    <row r="50" spans="1:18" x14ac:dyDescent="0.3">
      <c r="A50" s="5"/>
      <c r="B50" s="5"/>
      <c r="C50" s="5"/>
      <c r="D50" s="94"/>
      <c r="E50" s="6"/>
      <c r="F50" s="6"/>
      <c r="G50" s="95"/>
      <c r="H50" s="95"/>
      <c r="I50" s="96"/>
      <c r="J50" s="12"/>
      <c r="K50" s="12"/>
      <c r="L50" s="16"/>
      <c r="M50" s="16"/>
      <c r="N50" s="6"/>
      <c r="O50" s="94"/>
      <c r="P50" s="6"/>
      <c r="Q50" s="6"/>
      <c r="R50" s="6"/>
    </row>
    <row r="51" spans="1:18" x14ac:dyDescent="0.3">
      <c r="A51" s="5"/>
      <c r="B51" s="5"/>
      <c r="C51" s="5"/>
      <c r="D51" s="94"/>
      <c r="E51" s="6"/>
      <c r="F51" s="6"/>
      <c r="G51" s="95"/>
      <c r="H51" s="95"/>
      <c r="I51" s="96"/>
      <c r="J51" s="12"/>
      <c r="K51" s="12"/>
      <c r="L51" s="16"/>
      <c r="M51" s="16"/>
      <c r="N51" s="6"/>
      <c r="O51" s="94"/>
      <c r="P51" s="6"/>
      <c r="Q51" s="6"/>
      <c r="R51" s="6"/>
    </row>
    <row r="52" spans="1:18" x14ac:dyDescent="0.3">
      <c r="A52" s="5"/>
      <c r="B52" s="5"/>
      <c r="C52" s="5"/>
      <c r="D52" s="94"/>
      <c r="E52" s="6"/>
      <c r="F52" s="6"/>
      <c r="G52" s="95"/>
      <c r="H52" s="95"/>
      <c r="I52" s="96"/>
      <c r="J52" s="12"/>
      <c r="K52" s="12"/>
      <c r="L52" s="16"/>
      <c r="M52" s="16"/>
      <c r="N52" s="6"/>
      <c r="O52" s="94"/>
      <c r="P52" s="6"/>
      <c r="Q52" s="6"/>
      <c r="R52" s="6"/>
    </row>
    <row r="53" spans="1:18" x14ac:dyDescent="0.3">
      <c r="A53" s="5"/>
      <c r="B53" s="5"/>
      <c r="C53" s="5"/>
      <c r="D53" s="94"/>
      <c r="E53" s="6"/>
      <c r="F53" s="6"/>
      <c r="G53" s="95"/>
      <c r="H53" s="95"/>
      <c r="I53" s="96"/>
      <c r="J53" s="12"/>
      <c r="K53" s="12"/>
      <c r="L53" s="16"/>
      <c r="M53" s="16"/>
      <c r="N53" s="6"/>
      <c r="O53" s="94"/>
      <c r="P53" s="6"/>
      <c r="Q53" s="6"/>
      <c r="R53" s="6"/>
    </row>
    <row r="54" spans="1:18" x14ac:dyDescent="0.3">
      <c r="A54" s="5"/>
      <c r="B54" s="5"/>
      <c r="C54" s="5"/>
      <c r="D54" s="94"/>
      <c r="E54" s="6"/>
      <c r="F54" s="6"/>
      <c r="G54" s="95"/>
      <c r="H54" s="95"/>
      <c r="I54" s="96"/>
      <c r="J54" s="12"/>
      <c r="K54" s="12"/>
      <c r="L54" s="16"/>
      <c r="M54" s="16"/>
      <c r="N54" s="6"/>
      <c r="O54" s="94"/>
      <c r="P54" s="6"/>
      <c r="Q54" s="6"/>
      <c r="R54" s="6"/>
    </row>
    <row r="55" spans="1:18" x14ac:dyDescent="0.3">
      <c r="A55" s="5"/>
      <c r="B55" s="5"/>
      <c r="C55" s="5"/>
      <c r="D55" s="94"/>
      <c r="E55" s="6"/>
      <c r="F55" s="6"/>
      <c r="G55" s="95"/>
      <c r="H55" s="95"/>
      <c r="I55" s="96"/>
      <c r="J55" s="12"/>
      <c r="K55" s="12"/>
      <c r="L55" s="16"/>
      <c r="M55" s="16"/>
      <c r="N55" s="6"/>
      <c r="O55" s="94"/>
      <c r="P55" s="6"/>
      <c r="Q55" s="6"/>
      <c r="R55" s="6"/>
    </row>
    <row r="56" spans="1:18" x14ac:dyDescent="0.3">
      <c r="A56" s="5"/>
      <c r="B56" s="5"/>
      <c r="C56" s="5"/>
      <c r="D56" s="94"/>
      <c r="E56" s="6"/>
      <c r="F56" s="6"/>
      <c r="G56" s="95"/>
      <c r="H56" s="95"/>
      <c r="I56" s="96"/>
      <c r="J56" s="12"/>
      <c r="K56" s="12"/>
      <c r="L56" s="16"/>
      <c r="M56" s="16"/>
      <c r="N56" s="6"/>
      <c r="O56" s="94"/>
      <c r="P56" s="6"/>
      <c r="Q56" s="6"/>
      <c r="R56" s="6"/>
    </row>
    <row r="57" spans="1:18" x14ac:dyDescent="0.3">
      <c r="A57" s="5"/>
      <c r="B57" s="5"/>
      <c r="C57" s="5"/>
      <c r="D57" s="94"/>
      <c r="E57" s="6"/>
      <c r="F57" s="6"/>
      <c r="G57" s="95"/>
      <c r="H57" s="95"/>
      <c r="I57" s="96"/>
      <c r="J57" s="12"/>
      <c r="K57" s="12"/>
      <c r="L57" s="16"/>
      <c r="M57" s="16"/>
      <c r="N57" s="6"/>
      <c r="O57" s="94"/>
      <c r="P57" s="6"/>
      <c r="Q57" s="6"/>
      <c r="R57" s="6"/>
    </row>
    <row r="58" spans="1:18" x14ac:dyDescent="0.3">
      <c r="A58" s="5"/>
      <c r="B58" s="5"/>
      <c r="C58" s="5"/>
      <c r="D58" s="94"/>
      <c r="E58" s="6"/>
      <c r="F58" s="6"/>
      <c r="G58" s="95"/>
      <c r="H58" s="95"/>
      <c r="I58" s="96"/>
      <c r="J58" s="12"/>
      <c r="K58" s="12"/>
      <c r="L58" s="16"/>
      <c r="M58" s="16"/>
      <c r="N58" s="6"/>
      <c r="O58" s="94"/>
      <c r="P58" s="6"/>
      <c r="Q58" s="6"/>
      <c r="R58" s="6"/>
    </row>
    <row r="59" spans="1:18" x14ac:dyDescent="0.3">
      <c r="A59" s="5"/>
      <c r="B59" s="5"/>
      <c r="C59" s="5"/>
      <c r="D59" s="94"/>
      <c r="E59" s="6"/>
      <c r="F59" s="6"/>
      <c r="G59" s="95"/>
      <c r="H59" s="95"/>
      <c r="I59" s="96"/>
      <c r="J59" s="12"/>
      <c r="K59" s="12"/>
      <c r="L59" s="16"/>
      <c r="M59" s="16"/>
      <c r="N59" s="6"/>
      <c r="O59" s="94"/>
      <c r="P59" s="6"/>
      <c r="Q59" s="6"/>
      <c r="R59" s="6"/>
    </row>
    <row r="60" spans="1:18" x14ac:dyDescent="0.3">
      <c r="A60" s="5"/>
      <c r="B60" s="5"/>
      <c r="C60" s="5"/>
      <c r="D60" s="94"/>
      <c r="E60" s="6"/>
      <c r="F60" s="6"/>
      <c r="G60" s="95"/>
      <c r="H60" s="95"/>
      <c r="I60" s="96"/>
      <c r="J60" s="12"/>
      <c r="K60" s="12"/>
      <c r="L60" s="16"/>
      <c r="M60" s="16"/>
      <c r="N60" s="6"/>
      <c r="O60" s="94"/>
      <c r="P60" s="6"/>
      <c r="Q60" s="6"/>
      <c r="R60" s="6"/>
    </row>
    <row r="61" spans="1:18" x14ac:dyDescent="0.3">
      <c r="A61" s="5"/>
      <c r="B61" s="5"/>
      <c r="C61" s="5"/>
      <c r="D61" s="94"/>
      <c r="E61" s="6"/>
      <c r="F61" s="6"/>
      <c r="G61" s="95"/>
      <c r="H61" s="95"/>
      <c r="I61" s="96"/>
      <c r="J61" s="12"/>
      <c r="K61" s="12"/>
      <c r="L61" s="16"/>
      <c r="M61" s="16"/>
      <c r="N61" s="6"/>
      <c r="O61" s="94"/>
      <c r="P61" s="6"/>
      <c r="Q61" s="6"/>
      <c r="R61" s="6"/>
    </row>
    <row r="62" spans="1:18" x14ac:dyDescent="0.3">
      <c r="A62" s="5"/>
      <c r="B62" s="5"/>
      <c r="C62" s="5"/>
      <c r="D62" s="94"/>
      <c r="E62" s="6"/>
      <c r="F62" s="6"/>
      <c r="G62" s="95"/>
      <c r="H62" s="95"/>
      <c r="I62" s="96"/>
      <c r="J62" s="12"/>
      <c r="K62" s="12"/>
      <c r="L62" s="16"/>
      <c r="M62" s="16"/>
      <c r="N62" s="6"/>
      <c r="O62" s="94"/>
      <c r="P62" s="6"/>
      <c r="Q62" s="6"/>
      <c r="R62" s="6"/>
    </row>
    <row r="63" spans="1:18" x14ac:dyDescent="0.3">
      <c r="A63" s="5"/>
      <c r="B63" s="5"/>
      <c r="C63" s="5"/>
      <c r="D63" s="94"/>
      <c r="E63" s="6"/>
      <c r="F63" s="6"/>
      <c r="G63" s="95"/>
      <c r="H63" s="95"/>
      <c r="I63" s="96"/>
      <c r="J63" s="12"/>
      <c r="K63" s="12"/>
      <c r="L63" s="16"/>
      <c r="M63" s="16"/>
      <c r="N63" s="6"/>
      <c r="O63" s="94"/>
      <c r="P63" s="6"/>
      <c r="Q63" s="6"/>
      <c r="R63" s="6"/>
    </row>
    <row r="64" spans="1:18" x14ac:dyDescent="0.3">
      <c r="A64" s="5"/>
      <c r="B64" s="5"/>
      <c r="C64" s="5"/>
      <c r="D64" s="94"/>
      <c r="E64" s="6"/>
      <c r="F64" s="6"/>
      <c r="G64" s="95"/>
      <c r="H64" s="95"/>
      <c r="I64" s="96"/>
      <c r="J64" s="12"/>
      <c r="K64" s="12"/>
      <c r="L64" s="16"/>
      <c r="M64" s="16"/>
      <c r="N64" s="6"/>
      <c r="O64" s="94"/>
      <c r="P64" s="6"/>
      <c r="Q64" s="6"/>
      <c r="R64" s="6"/>
    </row>
    <row r="65" spans="1:18" x14ac:dyDescent="0.3">
      <c r="A65" s="5"/>
      <c r="B65" s="5"/>
      <c r="C65" s="5"/>
      <c r="D65" s="94"/>
      <c r="E65" s="6"/>
      <c r="F65" s="6"/>
      <c r="G65" s="95"/>
      <c r="H65" s="95"/>
      <c r="I65" s="96"/>
      <c r="J65" s="12"/>
      <c r="K65" s="12"/>
      <c r="L65" s="16"/>
      <c r="M65" s="16"/>
      <c r="N65" s="6"/>
      <c r="O65" s="94"/>
      <c r="P65" s="6"/>
      <c r="Q65" s="6"/>
      <c r="R65" s="6"/>
    </row>
    <row r="66" spans="1:18" x14ac:dyDescent="0.3">
      <c r="A66" s="5"/>
      <c r="B66" s="5"/>
      <c r="C66" s="5"/>
      <c r="D66" s="94"/>
      <c r="E66" s="6"/>
      <c r="F66" s="6"/>
      <c r="G66" s="95"/>
      <c r="H66" s="95"/>
      <c r="I66" s="96"/>
      <c r="J66" s="12"/>
      <c r="K66" s="12"/>
      <c r="L66" s="16"/>
      <c r="M66" s="16"/>
      <c r="N66" s="6"/>
      <c r="O66" s="94"/>
      <c r="P66" s="6"/>
      <c r="Q66" s="6"/>
      <c r="R66" s="6"/>
    </row>
    <row r="67" spans="1:18" x14ac:dyDescent="0.3">
      <c r="A67" s="5"/>
      <c r="B67" s="5"/>
      <c r="C67" s="5"/>
      <c r="D67" s="94"/>
      <c r="E67" s="6"/>
      <c r="F67" s="6"/>
      <c r="G67" s="95"/>
      <c r="H67" s="95"/>
      <c r="I67" s="96"/>
      <c r="J67" s="12"/>
      <c r="K67" s="12"/>
      <c r="L67" s="16"/>
      <c r="M67" s="16"/>
      <c r="N67" s="6"/>
      <c r="O67" s="94"/>
      <c r="P67" s="6"/>
      <c r="Q67" s="6"/>
      <c r="R67" s="6"/>
    </row>
    <row r="68" spans="1:18" x14ac:dyDescent="0.3">
      <c r="A68" s="5"/>
      <c r="B68" s="5"/>
      <c r="C68" s="5"/>
      <c r="E68" s="5"/>
      <c r="F68" s="5"/>
      <c r="G68" s="95"/>
      <c r="H68" s="95"/>
      <c r="J68" s="5"/>
      <c r="K68" s="5"/>
      <c r="L68" s="5"/>
      <c r="M68" s="5"/>
      <c r="N68" s="5"/>
      <c r="P68" s="5"/>
      <c r="Q68" s="5"/>
      <c r="R68" s="5"/>
    </row>
    <row r="69" spans="1:18" ht="18" x14ac:dyDescent="0.35">
      <c r="A69" s="8"/>
      <c r="B69" s="8"/>
      <c r="C69" s="5"/>
      <c r="E69" s="5"/>
      <c r="F69" s="5"/>
      <c r="G69" s="95"/>
      <c r="H69" s="95"/>
      <c r="J69" s="5"/>
      <c r="K69" s="5"/>
      <c r="L69" s="5"/>
      <c r="M69" s="5"/>
      <c r="N69" s="5"/>
      <c r="P69" s="5"/>
      <c r="Q69" s="5"/>
      <c r="R69" s="5"/>
    </row>
    <row r="70" spans="1:18" x14ac:dyDescent="0.3">
      <c r="A70" s="9"/>
      <c r="B70" s="9"/>
      <c r="C70" s="9"/>
      <c r="D70" s="93"/>
      <c r="E70" s="9"/>
      <c r="F70" s="9"/>
      <c r="G70" s="95"/>
      <c r="H70" s="95"/>
      <c r="I70" s="97"/>
      <c r="J70" s="11"/>
      <c r="K70" s="11"/>
      <c r="L70" s="9"/>
      <c r="M70" s="9"/>
      <c r="N70" s="9"/>
      <c r="O70" s="93"/>
      <c r="P70" s="9"/>
      <c r="Q70" s="10"/>
      <c r="R70" s="10"/>
    </row>
    <row r="71" spans="1:18" x14ac:dyDescent="0.3">
      <c r="A71" s="9"/>
      <c r="B71" s="9"/>
      <c r="C71" s="5"/>
      <c r="D71" s="94"/>
      <c r="E71" s="6"/>
      <c r="F71" s="12"/>
      <c r="I71" s="96"/>
      <c r="J71" s="12"/>
      <c r="K71" s="12"/>
      <c r="L71" s="16"/>
      <c r="M71" s="16"/>
      <c r="N71" s="6"/>
      <c r="O71" s="94"/>
      <c r="P71" s="6"/>
      <c r="Q71" s="6"/>
      <c r="R71" s="6"/>
    </row>
    <row r="72" spans="1:18" x14ac:dyDescent="0.3">
      <c r="A72" s="5"/>
      <c r="B72" s="5"/>
      <c r="C72" s="5"/>
      <c r="D72" s="94"/>
      <c r="E72" s="6"/>
      <c r="F72" s="6"/>
      <c r="G72" s="96"/>
      <c r="H72" s="96"/>
      <c r="I72" s="96"/>
      <c r="J72" s="12"/>
      <c r="K72" s="12"/>
      <c r="L72" s="16"/>
      <c r="M72" s="16"/>
      <c r="N72" s="6"/>
      <c r="O72" s="94"/>
      <c r="P72" s="6"/>
      <c r="Q72" s="6"/>
      <c r="R72" s="6"/>
    </row>
    <row r="73" spans="1:18" x14ac:dyDescent="0.3">
      <c r="A73" s="5"/>
      <c r="B73" s="5"/>
      <c r="C73" s="5"/>
      <c r="D73" s="94"/>
      <c r="E73" s="6"/>
      <c r="F73" s="6"/>
      <c r="G73" s="96"/>
      <c r="H73" s="96"/>
      <c r="I73" s="96"/>
      <c r="J73" s="12"/>
      <c r="K73" s="12"/>
      <c r="L73" s="16"/>
      <c r="M73" s="16"/>
      <c r="N73" s="6"/>
      <c r="O73" s="94"/>
      <c r="P73" s="6"/>
      <c r="Q73" s="6"/>
      <c r="R73" s="6"/>
    </row>
    <row r="74" spans="1:18" x14ac:dyDescent="0.3">
      <c r="A74" s="5"/>
      <c r="B74" s="5"/>
      <c r="C74" s="5"/>
      <c r="D74" s="94"/>
      <c r="E74" s="6"/>
      <c r="F74" s="6"/>
      <c r="G74" s="96"/>
      <c r="H74" s="96"/>
      <c r="I74" s="96"/>
      <c r="J74" s="12"/>
      <c r="K74" s="12"/>
      <c r="L74" s="16"/>
      <c r="M74" s="16"/>
      <c r="N74" s="6"/>
      <c r="O74" s="94"/>
      <c r="P74" s="6"/>
      <c r="Q74" s="6"/>
      <c r="R74" s="6"/>
    </row>
    <row r="75" spans="1:18" x14ac:dyDescent="0.3">
      <c r="A75" s="5"/>
      <c r="B75" s="5"/>
      <c r="C75" s="5"/>
      <c r="D75" s="94"/>
      <c r="E75" s="6"/>
      <c r="F75" s="6"/>
      <c r="G75" s="96"/>
      <c r="H75" s="96"/>
      <c r="I75" s="96"/>
      <c r="J75" s="12"/>
      <c r="K75" s="12"/>
      <c r="L75" s="16"/>
      <c r="M75" s="16"/>
      <c r="N75" s="6"/>
      <c r="O75" s="94"/>
      <c r="P75" s="6"/>
      <c r="Q75" s="6"/>
      <c r="R75" s="6"/>
    </row>
    <row r="76" spans="1:18" x14ac:dyDescent="0.3">
      <c r="A76" s="5"/>
      <c r="B76" s="5"/>
      <c r="C76" s="5"/>
      <c r="D76" s="94"/>
      <c r="E76" s="6"/>
      <c r="F76" s="6"/>
      <c r="G76" s="96"/>
      <c r="H76" s="96"/>
      <c r="I76" s="96"/>
      <c r="J76" s="12"/>
      <c r="K76" s="12"/>
      <c r="L76" s="16"/>
      <c r="M76" s="16"/>
      <c r="N76" s="6"/>
      <c r="O76" s="94"/>
      <c r="P76" s="6"/>
      <c r="Q76" s="6"/>
      <c r="R76" s="6"/>
    </row>
    <row r="77" spans="1:18" x14ac:dyDescent="0.3">
      <c r="A77" s="5"/>
      <c r="B77" s="5"/>
      <c r="C77" s="5"/>
      <c r="D77" s="94"/>
      <c r="E77" s="6"/>
      <c r="F77" s="6"/>
      <c r="G77" s="96"/>
      <c r="H77" s="96"/>
      <c r="I77" s="96"/>
      <c r="J77" s="12"/>
      <c r="K77" s="12"/>
      <c r="L77" s="16"/>
      <c r="M77" s="16"/>
      <c r="N77" s="6"/>
      <c r="O77" s="94"/>
      <c r="P77" s="6"/>
      <c r="Q77" s="6"/>
      <c r="R77" s="6"/>
    </row>
    <row r="78" spans="1:18" x14ac:dyDescent="0.3">
      <c r="A78" s="5"/>
      <c r="B78" s="5"/>
      <c r="C78" s="5"/>
      <c r="D78" s="94"/>
      <c r="E78" s="6"/>
      <c r="F78" s="6"/>
      <c r="G78" s="96"/>
      <c r="H78" s="96"/>
      <c r="I78" s="96"/>
      <c r="J78" s="12"/>
      <c r="K78" s="12"/>
      <c r="L78" s="16"/>
      <c r="M78" s="16"/>
      <c r="N78" s="6"/>
      <c r="O78" s="94"/>
      <c r="P78" s="6"/>
      <c r="Q78" s="6"/>
      <c r="R78" s="6"/>
    </row>
    <row r="79" spans="1:18" x14ac:dyDescent="0.3">
      <c r="A79" s="5"/>
      <c r="B79" s="5"/>
      <c r="C79" s="5"/>
      <c r="D79" s="94"/>
      <c r="E79" s="6"/>
      <c r="F79" s="6"/>
      <c r="G79" s="96"/>
      <c r="H79" s="96"/>
      <c r="I79" s="96"/>
      <c r="J79" s="12"/>
      <c r="K79" s="12"/>
      <c r="L79" s="16"/>
      <c r="M79" s="16"/>
      <c r="N79" s="6"/>
      <c r="O79" s="94"/>
      <c r="P79" s="6"/>
      <c r="Q79" s="6"/>
      <c r="R79" s="6"/>
    </row>
    <row r="80" spans="1:18" x14ac:dyDescent="0.3">
      <c r="A80" s="5"/>
      <c r="B80" s="5"/>
      <c r="C80" s="5"/>
      <c r="D80" s="94"/>
      <c r="E80" s="6"/>
      <c r="F80" s="6"/>
      <c r="G80" s="96"/>
      <c r="H80" s="96"/>
      <c r="I80" s="96"/>
      <c r="J80" s="12"/>
      <c r="K80" s="12"/>
      <c r="L80" s="16"/>
      <c r="M80" s="16"/>
      <c r="N80" s="6"/>
      <c r="O80" s="94"/>
      <c r="P80" s="6"/>
      <c r="Q80" s="6"/>
      <c r="R80" s="6"/>
    </row>
    <row r="81" spans="1:18" x14ac:dyDescent="0.3">
      <c r="A81" s="5"/>
      <c r="B81" s="5"/>
      <c r="C81" s="5"/>
      <c r="D81" s="94"/>
      <c r="E81" s="6"/>
      <c r="F81" s="6"/>
      <c r="G81" s="96"/>
      <c r="H81" s="96"/>
      <c r="I81" s="96"/>
      <c r="J81" s="12"/>
      <c r="K81" s="12"/>
      <c r="L81" s="16"/>
      <c r="M81" s="16"/>
      <c r="N81" s="6"/>
      <c r="O81" s="94"/>
      <c r="P81" s="6"/>
      <c r="Q81" s="6"/>
      <c r="R81" s="6"/>
    </row>
    <row r="82" spans="1:18" x14ac:dyDescent="0.3">
      <c r="A82" s="5"/>
      <c r="B82" s="5"/>
      <c r="C82" s="5"/>
      <c r="D82" s="94"/>
      <c r="E82" s="6"/>
      <c r="F82" s="6"/>
      <c r="G82" s="96"/>
      <c r="H82" s="96"/>
      <c r="I82" s="96"/>
      <c r="J82" s="12"/>
      <c r="K82" s="12"/>
      <c r="L82" s="16"/>
      <c r="M82" s="16"/>
      <c r="N82" s="6"/>
      <c r="O82" s="94"/>
      <c r="P82" s="6"/>
      <c r="Q82" s="6"/>
      <c r="R82" s="6"/>
    </row>
    <row r="83" spans="1:18" x14ac:dyDescent="0.3">
      <c r="A83" s="5"/>
      <c r="B83" s="5"/>
      <c r="C83" s="5"/>
      <c r="D83" s="94"/>
      <c r="E83" s="6"/>
      <c r="F83" s="6"/>
      <c r="G83" s="96"/>
      <c r="H83" s="96"/>
      <c r="I83" s="96"/>
      <c r="J83" s="12"/>
      <c r="K83" s="12"/>
      <c r="L83" s="16"/>
      <c r="M83" s="16"/>
      <c r="N83" s="6"/>
      <c r="O83" s="94"/>
      <c r="P83" s="6"/>
      <c r="Q83" s="6"/>
      <c r="R83" s="6"/>
    </row>
    <row r="84" spans="1:18" x14ac:dyDescent="0.3">
      <c r="A84" s="5"/>
      <c r="B84" s="5"/>
      <c r="C84" s="5"/>
      <c r="D84" s="94"/>
      <c r="E84" s="6"/>
      <c r="F84" s="6"/>
      <c r="G84" s="96"/>
      <c r="H84" s="96"/>
      <c r="I84" s="96"/>
      <c r="J84" s="12"/>
      <c r="K84" s="12"/>
      <c r="L84" s="16"/>
      <c r="M84" s="16"/>
      <c r="N84" s="6"/>
      <c r="O84" s="94"/>
      <c r="P84" s="6"/>
      <c r="Q84" s="6"/>
      <c r="R84" s="6"/>
    </row>
    <row r="85" spans="1:18" x14ac:dyDescent="0.3">
      <c r="A85" s="5"/>
      <c r="B85" s="5"/>
      <c r="C85" s="5"/>
      <c r="D85" s="94"/>
      <c r="E85" s="6"/>
      <c r="F85" s="6"/>
      <c r="G85" s="96"/>
      <c r="H85" s="96"/>
      <c r="I85" s="96"/>
      <c r="J85" s="12"/>
      <c r="K85" s="12"/>
      <c r="L85" s="16"/>
      <c r="M85" s="16"/>
      <c r="N85" s="6"/>
      <c r="O85" s="94"/>
      <c r="P85" s="6"/>
      <c r="Q85" s="6"/>
      <c r="R85" s="6"/>
    </row>
    <row r="86" spans="1:18" x14ac:dyDescent="0.3">
      <c r="A86" s="5"/>
      <c r="B86" s="5"/>
      <c r="C86" s="5"/>
      <c r="D86" s="94"/>
      <c r="E86" s="6"/>
      <c r="F86" s="6"/>
      <c r="G86" s="96"/>
      <c r="H86" s="96"/>
      <c r="I86" s="96"/>
      <c r="J86" s="12"/>
      <c r="K86" s="12"/>
      <c r="L86" s="16"/>
      <c r="M86" s="16"/>
      <c r="N86" s="6"/>
      <c r="O86" s="94"/>
      <c r="P86" s="6"/>
      <c r="Q86" s="6"/>
      <c r="R86" s="6"/>
    </row>
    <row r="87" spans="1:18" x14ac:dyDescent="0.3">
      <c r="A87" s="5"/>
      <c r="B87" s="5"/>
      <c r="C87" s="5"/>
      <c r="D87" s="94"/>
      <c r="E87" s="6"/>
      <c r="F87" s="6"/>
      <c r="G87" s="96"/>
      <c r="H87" s="96"/>
      <c r="I87" s="96"/>
      <c r="J87" s="12"/>
      <c r="K87" s="12"/>
      <c r="L87" s="16"/>
      <c r="M87" s="16"/>
      <c r="N87" s="6"/>
      <c r="O87" s="94"/>
      <c r="P87" s="6"/>
      <c r="Q87" s="6"/>
      <c r="R87" s="6"/>
    </row>
    <row r="88" spans="1:18" x14ac:dyDescent="0.3">
      <c r="A88" s="5"/>
      <c r="B88" s="5"/>
      <c r="C88" s="5"/>
      <c r="D88" s="94"/>
      <c r="E88" s="6"/>
      <c r="F88" s="6"/>
      <c r="G88" s="96"/>
      <c r="H88" s="96"/>
      <c r="I88" s="96"/>
      <c r="J88" s="12"/>
      <c r="K88" s="12"/>
      <c r="L88" s="16"/>
      <c r="M88" s="16"/>
      <c r="N88" s="6"/>
      <c r="O88" s="94"/>
      <c r="P88" s="6"/>
      <c r="Q88" s="6"/>
      <c r="R88" s="6"/>
    </row>
    <row r="89" spans="1:18" x14ac:dyDescent="0.3">
      <c r="A89" s="5"/>
      <c r="B89" s="5"/>
      <c r="C89" s="5"/>
      <c r="D89" s="94"/>
      <c r="E89" s="6"/>
      <c r="F89" s="6"/>
      <c r="G89" s="96"/>
      <c r="H89" s="96"/>
      <c r="I89" s="96"/>
      <c r="J89" s="12"/>
      <c r="K89" s="12"/>
      <c r="L89" s="16"/>
      <c r="M89" s="16"/>
      <c r="N89" s="6"/>
      <c r="O89" s="94"/>
      <c r="P89" s="6"/>
      <c r="Q89" s="6"/>
      <c r="R89" s="6"/>
    </row>
    <row r="90" spans="1:18" x14ac:dyDescent="0.3">
      <c r="A90" s="5"/>
      <c r="B90" s="5"/>
      <c r="C90" s="5"/>
      <c r="D90" s="94"/>
      <c r="E90" s="6"/>
      <c r="F90" s="6"/>
      <c r="G90" s="96"/>
      <c r="H90" s="96"/>
      <c r="I90" s="96"/>
      <c r="J90" s="12"/>
      <c r="K90" s="12"/>
      <c r="L90" s="16"/>
      <c r="M90" s="16"/>
      <c r="N90" s="6"/>
      <c r="O90" s="94"/>
      <c r="P90" s="6"/>
      <c r="Q90" s="6"/>
      <c r="R90" s="6"/>
    </row>
    <row r="91" spans="1:18" x14ac:dyDescent="0.3">
      <c r="A91" s="5"/>
      <c r="B91" s="5"/>
      <c r="C91" s="5"/>
      <c r="D91" s="94"/>
      <c r="E91" s="6"/>
      <c r="F91" s="6"/>
      <c r="G91" s="96"/>
      <c r="H91" s="96"/>
      <c r="I91" s="96"/>
      <c r="J91" s="12"/>
      <c r="K91" s="12"/>
      <c r="L91" s="16"/>
      <c r="M91" s="16"/>
      <c r="N91" s="6"/>
      <c r="O91" s="94"/>
      <c r="P91" s="6"/>
      <c r="Q91" s="6"/>
      <c r="R91" s="6"/>
    </row>
    <row r="92" spans="1:18" x14ac:dyDescent="0.3">
      <c r="A92" s="5"/>
      <c r="B92" s="5"/>
      <c r="C92" s="5"/>
      <c r="D92" s="94"/>
      <c r="E92" s="6"/>
      <c r="F92" s="6"/>
      <c r="G92" s="96"/>
      <c r="H92" s="96"/>
      <c r="I92" s="96"/>
      <c r="J92" s="12"/>
      <c r="K92" s="12"/>
      <c r="L92" s="16"/>
      <c r="M92" s="16"/>
      <c r="N92" s="6"/>
      <c r="O92" s="94"/>
      <c r="P92" s="6"/>
      <c r="Q92" s="6"/>
      <c r="R92" s="6"/>
    </row>
    <row r="93" spans="1:18" x14ac:dyDescent="0.3">
      <c r="A93" s="5"/>
      <c r="B93" s="5"/>
      <c r="C93" s="5"/>
      <c r="D93" s="94"/>
      <c r="E93" s="6"/>
      <c r="F93" s="6"/>
      <c r="G93" s="96"/>
      <c r="H93" s="96"/>
      <c r="I93" s="96"/>
      <c r="J93" s="12"/>
      <c r="K93" s="12"/>
      <c r="L93" s="16"/>
      <c r="M93" s="16"/>
      <c r="N93" s="6"/>
      <c r="O93" s="94"/>
      <c r="P93" s="6"/>
      <c r="Q93" s="6"/>
      <c r="R93" s="6"/>
    </row>
    <row r="94" spans="1:18" x14ac:dyDescent="0.3">
      <c r="A94" s="5"/>
      <c r="B94" s="5"/>
      <c r="C94" s="5"/>
      <c r="D94" s="94"/>
      <c r="E94" s="6"/>
      <c r="F94" s="6"/>
      <c r="G94" s="96"/>
      <c r="H94" s="96"/>
      <c r="I94" s="96"/>
      <c r="J94" s="12"/>
      <c r="K94" s="12"/>
      <c r="L94" s="16"/>
      <c r="M94" s="16"/>
      <c r="N94" s="6"/>
      <c r="O94" s="94"/>
      <c r="P94" s="6"/>
      <c r="Q94" s="6"/>
      <c r="R94" s="6"/>
    </row>
    <row r="95" spans="1:18" x14ac:dyDescent="0.3">
      <c r="A95" s="5"/>
      <c r="B95" s="5"/>
      <c r="C95" s="5"/>
      <c r="D95" s="94"/>
      <c r="E95" s="6"/>
      <c r="F95" s="6"/>
      <c r="G95" s="96"/>
      <c r="H95" s="96"/>
      <c r="I95" s="96"/>
      <c r="J95" s="12"/>
      <c r="K95" s="12"/>
      <c r="L95" s="16"/>
      <c r="M95" s="16"/>
      <c r="N95" s="6"/>
      <c r="O95" s="94"/>
      <c r="P95" s="6"/>
      <c r="Q95" s="6"/>
      <c r="R95" s="6"/>
    </row>
    <row r="96" spans="1:18" x14ac:dyDescent="0.3">
      <c r="A96" s="5"/>
      <c r="B96" s="5"/>
      <c r="C96" s="5"/>
      <c r="D96" s="94"/>
      <c r="E96" s="6"/>
      <c r="F96" s="6"/>
      <c r="G96" s="96"/>
      <c r="H96" s="96"/>
      <c r="I96" s="96"/>
      <c r="J96" s="12"/>
      <c r="K96" s="12"/>
      <c r="L96" s="16"/>
      <c r="M96" s="16"/>
      <c r="N96" s="6"/>
      <c r="O96" s="94"/>
      <c r="P96" s="6"/>
      <c r="Q96" s="6"/>
      <c r="R96" s="6"/>
    </row>
    <row r="97" spans="1:18" x14ac:dyDescent="0.3">
      <c r="A97" s="5"/>
      <c r="B97" s="5"/>
      <c r="C97" s="5"/>
      <c r="D97" s="94"/>
      <c r="E97" s="6"/>
      <c r="F97" s="6"/>
      <c r="G97" s="96"/>
      <c r="H97" s="96"/>
      <c r="I97" s="96"/>
      <c r="J97" s="12"/>
      <c r="K97" s="12"/>
      <c r="L97" s="16"/>
      <c r="M97" s="16"/>
      <c r="N97" s="6"/>
      <c r="O97" s="94"/>
      <c r="P97" s="6"/>
      <c r="Q97" s="6"/>
      <c r="R97" s="6"/>
    </row>
    <row r="98" spans="1:18" x14ac:dyDescent="0.3">
      <c r="A98" s="5"/>
      <c r="B98" s="5"/>
      <c r="C98" s="5"/>
      <c r="D98" s="94"/>
      <c r="E98" s="6"/>
      <c r="F98" s="6"/>
      <c r="G98" s="96"/>
      <c r="H98" s="96"/>
      <c r="I98" s="96"/>
      <c r="J98" s="12"/>
      <c r="K98" s="12"/>
      <c r="L98" s="16"/>
      <c r="M98" s="16"/>
      <c r="N98" s="6"/>
      <c r="O98" s="94"/>
      <c r="P98" s="6"/>
      <c r="Q98" s="6"/>
      <c r="R98" s="6"/>
    </row>
    <row r="99" spans="1:18" x14ac:dyDescent="0.3">
      <c r="A99" s="5"/>
      <c r="B99" s="5"/>
      <c r="C99" s="5"/>
      <c r="D99" s="94"/>
      <c r="E99" s="6"/>
      <c r="F99" s="6"/>
      <c r="G99" s="96"/>
      <c r="H99" s="96"/>
      <c r="I99" s="96"/>
      <c r="J99" s="12"/>
      <c r="K99" s="12"/>
      <c r="L99" s="16"/>
      <c r="M99" s="16"/>
      <c r="N99" s="6"/>
      <c r="O99" s="94"/>
      <c r="P99" s="6"/>
      <c r="Q99" s="6"/>
      <c r="R99" s="6"/>
    </row>
    <row r="100" spans="1:18" x14ac:dyDescent="0.3">
      <c r="A100" s="5"/>
      <c r="B100" s="5"/>
      <c r="C100" s="5"/>
      <c r="D100" s="94"/>
      <c r="E100" s="6"/>
      <c r="F100" s="6"/>
      <c r="G100" s="96"/>
      <c r="H100" s="96"/>
      <c r="I100" s="96"/>
      <c r="J100" s="12"/>
      <c r="K100" s="12"/>
      <c r="L100" s="16"/>
      <c r="M100" s="16"/>
      <c r="N100" s="6"/>
      <c r="O100" s="94"/>
      <c r="P100" s="6"/>
      <c r="Q100" s="6"/>
      <c r="R100" s="6"/>
    </row>
    <row r="101" spans="1:18" x14ac:dyDescent="0.3">
      <c r="A101" s="5"/>
      <c r="B101" s="5"/>
      <c r="C101" s="5"/>
      <c r="D101" s="94"/>
      <c r="E101" s="6"/>
      <c r="F101" s="6"/>
      <c r="G101" s="96"/>
      <c r="H101" s="96"/>
      <c r="I101" s="96"/>
      <c r="J101" s="12"/>
      <c r="K101" s="12"/>
      <c r="L101" s="16"/>
      <c r="M101" s="16"/>
      <c r="N101" s="6"/>
      <c r="O101" s="94"/>
      <c r="P101" s="6"/>
      <c r="Q101" s="6"/>
      <c r="R101" s="6"/>
    </row>
    <row r="102" spans="1:18" x14ac:dyDescent="0.3">
      <c r="A102" s="5"/>
      <c r="B102" s="5"/>
      <c r="C102" s="5"/>
      <c r="E102" s="5"/>
      <c r="F102" s="5"/>
      <c r="J102" s="5"/>
      <c r="K102" s="5"/>
      <c r="L102" s="5"/>
      <c r="M102" s="5"/>
      <c r="N102" s="5"/>
      <c r="P102" s="5"/>
      <c r="Q102" s="5"/>
      <c r="R102" s="5"/>
    </row>
    <row r="103" spans="1:18" x14ac:dyDescent="0.3">
      <c r="A103" s="5"/>
      <c r="B103" s="5"/>
      <c r="C103" s="5"/>
      <c r="E103" s="5"/>
      <c r="F103" s="5"/>
      <c r="J103" s="5"/>
      <c r="K103" s="5"/>
      <c r="L103" s="5"/>
      <c r="M103" s="5"/>
      <c r="N103" s="5"/>
      <c r="P103" s="5"/>
      <c r="Q103" s="5"/>
      <c r="R103" s="5"/>
    </row>
    <row r="104" spans="1:18" x14ac:dyDescent="0.3">
      <c r="A104" s="5"/>
      <c r="B104" s="5"/>
      <c r="C104" s="5"/>
      <c r="E104" s="5"/>
      <c r="F104" s="5"/>
      <c r="J104" s="5"/>
      <c r="K104" s="5"/>
      <c r="L104" s="5"/>
      <c r="M104" s="5"/>
      <c r="N104" s="5"/>
      <c r="P104" s="5"/>
      <c r="Q104" s="5"/>
      <c r="R104" s="5"/>
    </row>
    <row r="105" spans="1:18" x14ac:dyDescent="0.3">
      <c r="A105" s="5"/>
      <c r="B105" s="5"/>
      <c r="C105" s="5"/>
      <c r="E105" s="5"/>
      <c r="F105" s="5"/>
      <c r="J105" s="5"/>
      <c r="K105" s="5"/>
      <c r="L105" s="5"/>
      <c r="M105" s="5"/>
      <c r="N105" s="5"/>
      <c r="P105" s="5"/>
      <c r="Q105" s="5"/>
      <c r="R105"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8F0AE-4C83-43F6-BD2C-E387DB13F5EA}">
  <dimension ref="A1:Y105"/>
  <sheetViews>
    <sheetView zoomScale="70" zoomScaleNormal="70" workbookViewId="0">
      <selection activeCell="N13" sqref="N13"/>
    </sheetView>
  </sheetViews>
  <sheetFormatPr defaultRowHeight="14.4" x14ac:dyDescent="0.3"/>
  <cols>
    <col min="1" max="1" width="9.77734375" bestFit="1" customWidth="1"/>
    <col min="2" max="2" width="9.77734375" customWidth="1"/>
    <col min="4" max="5" width="18.44140625" customWidth="1"/>
    <col min="6" max="6" width="23" customWidth="1"/>
    <col min="7" max="8" width="13.44140625" customWidth="1"/>
    <col min="9" max="10" width="18.33203125" customWidth="1"/>
    <col min="11" max="11" width="16.6640625" bestFit="1" customWidth="1"/>
    <col min="12" max="12" width="16.6640625" customWidth="1"/>
    <col min="13" max="13" width="18.21875" bestFit="1" customWidth="1"/>
    <col min="14" max="15" width="18.21875" customWidth="1"/>
    <col min="16" max="17" width="21.77734375" customWidth="1"/>
    <col min="18" max="18" width="18.88671875" bestFit="1" customWidth="1"/>
    <col min="19" max="19" width="20.109375" bestFit="1" customWidth="1"/>
    <col min="20" max="20" width="20.77734375" bestFit="1" customWidth="1"/>
    <col min="21" max="21" width="17.44140625" bestFit="1" customWidth="1"/>
    <col min="22" max="22" width="17.44140625" customWidth="1"/>
    <col min="23" max="23" width="15" bestFit="1" customWidth="1"/>
    <col min="24" max="25" width="14" customWidth="1"/>
  </cols>
  <sheetData>
    <row r="1" spans="1:25" s="39" customFormat="1" ht="78" x14ac:dyDescent="0.3">
      <c r="A1" s="35" t="s">
        <v>0</v>
      </c>
      <c r="B1" s="35" t="s">
        <v>7</v>
      </c>
      <c r="C1" s="35" t="s">
        <v>1</v>
      </c>
      <c r="D1" s="35" t="s">
        <v>2</v>
      </c>
      <c r="E1" s="35" t="s">
        <v>29</v>
      </c>
      <c r="F1" s="35" t="s">
        <v>6</v>
      </c>
      <c r="G1" s="35" t="s">
        <v>26</v>
      </c>
      <c r="H1" s="35" t="s">
        <v>91</v>
      </c>
      <c r="I1" s="35" t="s">
        <v>8</v>
      </c>
      <c r="J1" s="35" t="s">
        <v>102</v>
      </c>
      <c r="K1" s="35" t="s">
        <v>27</v>
      </c>
      <c r="L1" s="35" t="s">
        <v>13</v>
      </c>
      <c r="M1" s="35" t="s">
        <v>15</v>
      </c>
      <c r="N1" s="35" t="s">
        <v>14</v>
      </c>
      <c r="O1" s="36" t="s">
        <v>3</v>
      </c>
      <c r="P1" s="36" t="s">
        <v>9</v>
      </c>
      <c r="Q1" s="36" t="s">
        <v>125</v>
      </c>
      <c r="R1" s="36" t="s">
        <v>16</v>
      </c>
      <c r="S1" s="36" t="s">
        <v>10</v>
      </c>
      <c r="T1" s="36" t="s">
        <v>11</v>
      </c>
      <c r="U1" s="36" t="s">
        <v>17</v>
      </c>
      <c r="V1" s="36" t="s">
        <v>130</v>
      </c>
      <c r="W1" s="36" t="s">
        <v>28</v>
      </c>
      <c r="X1" s="36" t="s">
        <v>18</v>
      </c>
      <c r="Y1" s="36" t="s">
        <v>19</v>
      </c>
    </row>
    <row r="2" spans="1:25" s="39" customFormat="1" ht="15.6" x14ac:dyDescent="0.3">
      <c r="A2" s="35"/>
      <c r="B2" s="35"/>
      <c r="C2" s="35"/>
      <c r="D2" s="92">
        <f>Input_values!B3</f>
        <v>253814184</v>
      </c>
      <c r="E2" s="35"/>
      <c r="F2" s="35"/>
      <c r="G2" s="35"/>
      <c r="H2" s="35"/>
      <c r="I2" s="35"/>
      <c r="J2" s="35"/>
      <c r="K2" s="35"/>
      <c r="L2" s="35"/>
      <c r="M2" s="35"/>
      <c r="N2" s="35"/>
      <c r="O2" s="36"/>
      <c r="P2" s="36"/>
      <c r="Q2" s="36"/>
      <c r="R2" s="36"/>
      <c r="S2" s="36"/>
      <c r="T2" s="36"/>
      <c r="U2" s="36"/>
      <c r="V2" s="36"/>
      <c r="W2" s="36"/>
      <c r="X2" s="36"/>
      <c r="Y2" s="36"/>
    </row>
    <row r="3" spans="1:25" x14ac:dyDescent="0.3">
      <c r="A3" s="2">
        <v>0</v>
      </c>
      <c r="B3" s="2">
        <v>0</v>
      </c>
      <c r="C3" s="1">
        <v>2020</v>
      </c>
      <c r="D3" s="7">
        <f>$D$2*(1+Input_values!$B$4)^(A3)</f>
        <v>253814184</v>
      </c>
      <c r="E3" s="3">
        <f>F3/G3</f>
        <v>2.1538066078555591E-2</v>
      </c>
      <c r="F3" s="33">
        <f>Input_values!$B$2</f>
        <v>328000</v>
      </c>
      <c r="G3" s="33">
        <f>D3*Input_values!$B$5*((1+Input_values!$B$6)^A3)</f>
        <v>15228851.039999999</v>
      </c>
      <c r="H3" s="33">
        <v>0</v>
      </c>
      <c r="I3" s="34">
        <f>Input_values!$B$12</f>
        <v>1019260</v>
      </c>
      <c r="J3" s="34">
        <f t="shared" ref="J3:J33" si="0">IF(AND(E3&gt;I3, H3&gt;G3),E3,I3)</f>
        <v>1019260</v>
      </c>
      <c r="K3" s="25">
        <f>I3/D2</f>
        <v>4.0157724203466897E-3</v>
      </c>
      <c r="L3" s="7">
        <f t="shared" ref="L3:L33" si="1">(1-E3)*G3</f>
        <v>14900851.039999999</v>
      </c>
      <c r="M3" s="17">
        <f>1-K3</f>
        <v>0.99598422757965333</v>
      </c>
      <c r="N3" s="34">
        <f t="shared" ref="N3:N33" si="2">D3-I3</f>
        <v>252794924</v>
      </c>
      <c r="O3" s="7">
        <f>N3*(Input_values!$B$7*(1+Input_values!$B$8)^A3)/(Input_values!$B$13*(1+Input_values!$B$14)^A3)</f>
        <v>128863303920.66231</v>
      </c>
      <c r="P3" s="7">
        <f>O3*Input_values!$B$10</f>
        <v>1145208181.9429259</v>
      </c>
      <c r="Q3" s="17">
        <f>Input_values!L37+Input_values!N37</f>
        <v>0.39594273119481199</v>
      </c>
      <c r="R3" s="32">
        <f>I3*Input_values!$B$7</f>
        <v>11742331393.031998</v>
      </c>
      <c r="S3" s="7">
        <f>R3*Input_values!$B$11</f>
        <v>3405276103.979279</v>
      </c>
      <c r="T3" s="7">
        <f>S3*(1-Q3)</f>
        <v>2056981782.8972945</v>
      </c>
      <c r="U3" s="7">
        <f>T3*0.00045*model_energy_weight_us_ca!J14</f>
        <v>1238424.5155587504</v>
      </c>
      <c r="V3" s="7">
        <f>O3*Input_values!$B$18</f>
        <v>174019765.35097933</v>
      </c>
      <c r="W3" s="7">
        <f>U3+P3+V3</f>
        <v>1320466371.809464</v>
      </c>
      <c r="X3" s="3">
        <f>IFERROR(U3/W3,0)</f>
        <v>9.3786903021370407E-4</v>
      </c>
      <c r="Y3" s="3">
        <f>1-X3</f>
        <v>0.99906213096978624</v>
      </c>
    </row>
    <row r="4" spans="1:25" x14ac:dyDescent="0.3">
      <c r="A4" s="1">
        <v>1</v>
      </c>
      <c r="B4" s="2">
        <v>0</v>
      </c>
      <c r="C4" s="1">
        <f t="shared" ref="C4:C33" si="3">C3+1</f>
        <v>2021</v>
      </c>
      <c r="D4" s="7">
        <f>$D$2*(1+Input_values!$B$4)^(A4)</f>
        <v>255844697.472</v>
      </c>
      <c r="E4" s="3">
        <v>0.04</v>
      </c>
      <c r="F4" s="7">
        <f>E4*G4</f>
        <v>617097.41030246392</v>
      </c>
      <c r="G4" s="33">
        <f>D4*Input_values!$B$5*((1+Input_values!$B$6)^A4)</f>
        <v>15427435.257561598</v>
      </c>
      <c r="H4" s="33">
        <v>0</v>
      </c>
      <c r="I4" s="34">
        <f t="shared" ref="I4:I33" si="4">IF(F4+I3-H4&gt;D4,D4,F4+I3-H4)</f>
        <v>1636357.4103024639</v>
      </c>
      <c r="J4" s="34">
        <f t="shared" si="0"/>
        <v>1636357.4103024639</v>
      </c>
      <c r="K4" s="25">
        <f t="shared" ref="K4:K33" si="5">I4/D4</f>
        <v>6.3959012106613979E-3</v>
      </c>
      <c r="L4" s="7">
        <f t="shared" si="1"/>
        <v>14810337.847259134</v>
      </c>
      <c r="M4" s="17">
        <f>1-K4</f>
        <v>0.99360409878933864</v>
      </c>
      <c r="N4" s="34">
        <f t="shared" si="2"/>
        <v>254208340.06169754</v>
      </c>
      <c r="O4" s="7">
        <f>N4*(Input_values!$B$7*(1+Input_values!$B$8)^A4)/(Input_values!$B$13*(1+Input_values!$B$14)^A4)</f>
        <v>128504362217.73738</v>
      </c>
      <c r="P4" s="7">
        <f>O4*Input_values!$B$10</f>
        <v>1142018267.0290322</v>
      </c>
      <c r="Q4" s="17">
        <f>Input_values!L38+Input_values!N38</f>
        <v>0.45763454960782129</v>
      </c>
      <c r="R4" s="32">
        <f>I4*Input_values!$B$7</f>
        <v>18851569755.719997</v>
      </c>
      <c r="S4" s="7">
        <f>R4*Input_values!$B$11</f>
        <v>5466955229.1587992</v>
      </c>
      <c r="T4" s="7">
        <f t="shared" ref="T4:T33" si="6">S4*(1-Q4)</f>
        <v>2965087635.1365886</v>
      </c>
      <c r="U4" s="7">
        <f>T4*0.00045*model_energy_weight_us_ca!J15</f>
        <v>1914453.3562906606</v>
      </c>
      <c r="V4" s="7">
        <f>O4*Input_values!$B$18</f>
        <v>173535042.78825399</v>
      </c>
      <c r="W4" s="7">
        <f t="shared" ref="W4:W33" si="7">U4+P4+V4</f>
        <v>1317467763.1735768</v>
      </c>
      <c r="X4" s="3">
        <f t="shared" ref="X4:X33" si="8">IFERROR(U4/W4,0)</f>
        <v>1.4531310820684049E-3</v>
      </c>
      <c r="Y4" s="3">
        <f t="shared" ref="Y4:Y33" si="9">1-X4</f>
        <v>0.99854686891793154</v>
      </c>
    </row>
    <row r="5" spans="1:25" x14ac:dyDescent="0.3">
      <c r="A5" s="1">
        <f t="shared" ref="A5:A33" si="10">A4+1</f>
        <v>2</v>
      </c>
      <c r="B5" s="2">
        <v>0</v>
      </c>
      <c r="C5" s="1">
        <f t="shared" si="3"/>
        <v>2022</v>
      </c>
      <c r="D5" s="7">
        <f>$D$2*(1+Input_values!$B$4)^(A5)</f>
        <v>257891455.05177602</v>
      </c>
      <c r="E5" s="3">
        <v>0.05</v>
      </c>
      <c r="F5" s="7">
        <f t="shared" ref="F5:F33" si="11">E5*G5</f>
        <v>781430.45066601003</v>
      </c>
      <c r="G5" s="33">
        <f>D5*Input_values!$B$5*((1+Input_values!$B$6)^A5)</f>
        <v>15628609.0133202</v>
      </c>
      <c r="H5" s="33">
        <v>0</v>
      </c>
      <c r="I5" s="34">
        <f t="shared" si="4"/>
        <v>2417787.8609684738</v>
      </c>
      <c r="J5" s="34">
        <f t="shared" si="0"/>
        <v>2417787.8609684738</v>
      </c>
      <c r="K5" s="25">
        <f t="shared" si="5"/>
        <v>9.3752150899418622E-3</v>
      </c>
      <c r="L5" s="7">
        <f t="shared" si="1"/>
        <v>14847178.56265419</v>
      </c>
      <c r="M5" s="17">
        <f t="shared" ref="M5:M33" si="12">1-K5</f>
        <v>0.99062478491005812</v>
      </c>
      <c r="N5" s="34">
        <f t="shared" si="2"/>
        <v>255473667.19080755</v>
      </c>
      <c r="O5" s="7">
        <f>N5*(Input_values!$B$7*(1+Input_values!$B$8)^A5)/(Input_values!$B$13*(1+Input_values!$B$14)^A5)</f>
        <v>128068222200.59926</v>
      </c>
      <c r="P5" s="7">
        <f>O5*Input_values!$B$10</f>
        <v>1138142290.6967256</v>
      </c>
      <c r="Q5" s="17">
        <f>Input_values!L39+Input_values!N39</f>
        <v>0.4736762396692461</v>
      </c>
      <c r="R5" s="32">
        <f>I5*Input_values!$B$7</f>
        <v>27853998294.391808</v>
      </c>
      <c r="S5" s="7">
        <f>R5*Input_values!$B$11</f>
        <v>8077659505.3736238</v>
      </c>
      <c r="T5" s="7">
        <f t="shared" si="6"/>
        <v>4251464125.5397034</v>
      </c>
      <c r="U5" s="7">
        <f>T5*0.00045*model_energy_weight_us_ca!J16</f>
        <v>2774549.9811044135</v>
      </c>
      <c r="V5" s="7">
        <f>O5*Input_values!$B$18</f>
        <v>172946069.96873608</v>
      </c>
      <c r="W5" s="7">
        <f t="shared" si="7"/>
        <v>1313862910.6465662</v>
      </c>
      <c r="X5" s="3">
        <f t="shared" si="8"/>
        <v>2.1117499844325672E-3</v>
      </c>
      <c r="Y5" s="3">
        <f t="shared" si="9"/>
        <v>0.99788825001556747</v>
      </c>
    </row>
    <row r="6" spans="1:25" x14ac:dyDescent="0.3">
      <c r="A6" s="1">
        <f t="shared" si="10"/>
        <v>3</v>
      </c>
      <c r="B6" s="2">
        <v>0</v>
      </c>
      <c r="C6" s="1">
        <f t="shared" si="3"/>
        <v>2023</v>
      </c>
      <c r="D6" s="7">
        <f>$D$2*(1+Input_values!$B$4)^(A6)</f>
        <v>259954586.69219026</v>
      </c>
      <c r="E6" s="3">
        <v>0.06</v>
      </c>
      <c r="F6" s="7">
        <f t="shared" si="11"/>
        <v>949944.36449123383</v>
      </c>
      <c r="G6" s="33">
        <f>D6*Input_values!$B$5*((1+Input_values!$B$6)^A6)</f>
        <v>15832406.074853897</v>
      </c>
      <c r="H6" s="33">
        <v>0</v>
      </c>
      <c r="I6" s="34">
        <f t="shared" si="4"/>
        <v>3367732.2254597079</v>
      </c>
      <c r="J6" s="34">
        <f t="shared" si="0"/>
        <v>3367732.2254597079</v>
      </c>
      <c r="K6" s="25">
        <f t="shared" si="5"/>
        <v>1.2955079070974068E-2</v>
      </c>
      <c r="L6" s="7">
        <f t="shared" si="1"/>
        <v>14882461.710362662</v>
      </c>
      <c r="M6" s="17">
        <f t="shared" si="12"/>
        <v>0.98704492092902596</v>
      </c>
      <c r="N6" s="34">
        <f t="shared" si="2"/>
        <v>256586854.46673056</v>
      </c>
      <c r="O6" s="7">
        <f>N6*(Input_values!$B$7*(1+Input_values!$B$8)^A6)/(Input_values!$B$13*(1+Input_values!$B$14)^A6)</f>
        <v>127554799497.74103</v>
      </c>
      <c r="P6" s="7">
        <f>O6*Input_values!$B$10</f>
        <v>1133579503.1364245</v>
      </c>
      <c r="Q6" s="17">
        <f>Input_values!L40+Input_values!N40</f>
        <v>0.46268504053921089</v>
      </c>
      <c r="R6" s="32">
        <f>I6*Input_values!$B$7</f>
        <v>38797782542.571121</v>
      </c>
      <c r="S6" s="7">
        <f>R6*Input_values!$B$11</f>
        <v>11251356937.345625</v>
      </c>
      <c r="T6" s="7">
        <f t="shared" si="6"/>
        <v>6045522396.6687326</v>
      </c>
      <c r="U6" s="7">
        <f>T6*0.00045*model_energy_weight_us_ca!J17</f>
        <v>3802211.9216482011</v>
      </c>
      <c r="V6" s="7">
        <f>O6*Input_values!$B$18</f>
        <v>172252732.95533571</v>
      </c>
      <c r="W6" s="7">
        <f t="shared" si="7"/>
        <v>1309634448.0134084</v>
      </c>
      <c r="X6" s="3">
        <f t="shared" si="8"/>
        <v>2.9032619960598907E-3</v>
      </c>
      <c r="Y6" s="3">
        <f t="shared" si="9"/>
        <v>0.99709673800394016</v>
      </c>
    </row>
    <row r="7" spans="1:25" x14ac:dyDescent="0.3">
      <c r="A7" s="1">
        <f t="shared" si="10"/>
        <v>4</v>
      </c>
      <c r="B7" s="2">
        <v>0</v>
      </c>
      <c r="C7" s="1">
        <f t="shared" si="3"/>
        <v>2024</v>
      </c>
      <c r="D7" s="7">
        <f>$D$2*(1+Input_values!$B$4)^(A7)</f>
        <v>262034223.38572779</v>
      </c>
      <c r="E7" s="3">
        <v>7.4999999999999997E-2</v>
      </c>
      <c r="F7" s="7">
        <f t="shared" si="11"/>
        <v>1202914.5487552488</v>
      </c>
      <c r="G7" s="33">
        <f>D7*Input_values!$B$5*((1+Input_values!$B$6)^A7)</f>
        <v>16038860.650069986</v>
      </c>
      <c r="H7" s="33">
        <v>0</v>
      </c>
      <c r="I7" s="34">
        <f t="shared" si="4"/>
        <v>4570646.7742149569</v>
      </c>
      <c r="J7" s="34">
        <f t="shared" si="0"/>
        <v>4570646.7742149569</v>
      </c>
      <c r="K7" s="25">
        <f t="shared" si="5"/>
        <v>1.744293823592169E-2</v>
      </c>
      <c r="L7" s="7">
        <f t="shared" si="1"/>
        <v>14835946.101314737</v>
      </c>
      <c r="M7" s="17">
        <f>1-K7</f>
        <v>0.98255706176407831</v>
      </c>
      <c r="N7" s="34">
        <f t="shared" si="2"/>
        <v>257463576.61151284</v>
      </c>
      <c r="O7" s="7">
        <f>N7*(Input_values!$B$7*(1+Input_values!$B$8)^A7)/(Input_values!$B$13*(1+Input_values!$B$14)^A7)</f>
        <v>126924471222.04189</v>
      </c>
      <c r="P7" s="7">
        <f>O7*Input_values!$B$10</f>
        <v>1127977775.7502863</v>
      </c>
      <c r="Q7" s="17">
        <f>Input_values!L41+Input_values!N41</f>
        <v>0.47058157909899778</v>
      </c>
      <c r="R7" s="32">
        <f>I7*Input_values!$B$7</f>
        <v>52655896536.040581</v>
      </c>
      <c r="S7" s="7">
        <f>R7*Input_values!$B$11</f>
        <v>15270209995.451767</v>
      </c>
      <c r="T7" s="7">
        <f t="shared" si="6"/>
        <v>8084330462.6187744</v>
      </c>
      <c r="U7" s="7">
        <f>T7*0.00045*model_energy_weight_us_ca!J18</f>
        <v>4973769.262155829</v>
      </c>
      <c r="V7" s="7">
        <f>O7*Input_values!$B$18</f>
        <v>171401524.15272123</v>
      </c>
      <c r="W7" s="7">
        <f t="shared" si="7"/>
        <v>1304353069.1651633</v>
      </c>
      <c r="X7" s="3">
        <f t="shared" si="8"/>
        <v>3.8132077730604298E-3</v>
      </c>
      <c r="Y7" s="3">
        <f t="shared" si="9"/>
        <v>0.99618679222693962</v>
      </c>
    </row>
    <row r="8" spans="1:25" x14ac:dyDescent="0.3">
      <c r="A8" s="1">
        <f t="shared" si="10"/>
        <v>5</v>
      </c>
      <c r="B8" s="38">
        <v>0.05</v>
      </c>
      <c r="C8" s="1">
        <f t="shared" si="3"/>
        <v>2025</v>
      </c>
      <c r="D8" s="7">
        <f>$D$2*(1+Input_values!$B$4)^(A8)</f>
        <v>264130497.17281359</v>
      </c>
      <c r="E8" s="3">
        <f>11%+B8</f>
        <v>0.16</v>
      </c>
      <c r="F8" s="7">
        <f t="shared" si="11"/>
        <v>2599681.1828715033</v>
      </c>
      <c r="G8" s="33">
        <f>D8*Input_values!$B$5*((1+Input_values!$B$6)^A8)</f>
        <v>16248007.392946895</v>
      </c>
      <c r="H8" s="33">
        <v>0</v>
      </c>
      <c r="I8" s="34">
        <f t="shared" si="4"/>
        <v>7170327.9570864607</v>
      </c>
      <c r="J8" s="34">
        <f t="shared" si="0"/>
        <v>7170327.9570864607</v>
      </c>
      <c r="K8" s="25">
        <f t="shared" si="5"/>
        <v>2.7146914248206276E-2</v>
      </c>
      <c r="L8" s="7">
        <f t="shared" si="1"/>
        <v>13648326.210075391</v>
      </c>
      <c r="M8" s="17">
        <f t="shared" si="12"/>
        <v>0.97285308575179374</v>
      </c>
      <c r="N8" s="34">
        <f t="shared" si="2"/>
        <v>256960169.21572712</v>
      </c>
      <c r="O8" s="7">
        <f>N8*(Input_values!$B$7*(1+Input_values!$B$8)^A8)/(Input_values!$B$13*(1+Input_values!$B$14)^A8)</f>
        <v>125621084185.91281</v>
      </c>
      <c r="P8" s="7">
        <f>O8*Input_values!$B$10</f>
        <v>1116394575.1602073</v>
      </c>
      <c r="Q8" s="17">
        <f>Input_values!L42+Input_values!N42</f>
        <v>0.46434375491984081</v>
      </c>
      <c r="R8" s="32">
        <f>I8*Input_values!$B$7</f>
        <v>82605387309.255096</v>
      </c>
      <c r="S8" s="7">
        <f>R8*Input_values!$B$11</f>
        <v>23955562319.683975</v>
      </c>
      <c r="T8" s="7">
        <f t="shared" si="6"/>
        <v>12831946560.945665</v>
      </c>
      <c r="U8" s="7">
        <f>T8*0.00045*model_energy_weight_us_ca!J19</f>
        <v>7660107.1117690876</v>
      </c>
      <c r="V8" s="7">
        <f>O8*Input_values!$B$18</f>
        <v>169641402.38579577</v>
      </c>
      <c r="W8" s="7">
        <f t="shared" si="7"/>
        <v>1293696084.6577723</v>
      </c>
      <c r="X8" s="3">
        <f t="shared" si="8"/>
        <v>5.9211024927817209E-3</v>
      </c>
      <c r="Y8" s="3">
        <f t="shared" si="9"/>
        <v>0.99407889750721823</v>
      </c>
    </row>
    <row r="9" spans="1:25" x14ac:dyDescent="0.3">
      <c r="A9" s="1">
        <f t="shared" si="10"/>
        <v>6</v>
      </c>
      <c r="B9" s="38">
        <v>0.1</v>
      </c>
      <c r="C9" s="1">
        <f t="shared" si="3"/>
        <v>2026</v>
      </c>
      <c r="D9" s="7">
        <f>$D$2*(1+Input_values!$B$4)^(A9)</f>
        <v>266243541.15019611</v>
      </c>
      <c r="E9" s="3">
        <f>14%+B9</f>
        <v>0.24000000000000002</v>
      </c>
      <c r="F9" s="7">
        <f t="shared" si="11"/>
        <v>3950371.5382442209</v>
      </c>
      <c r="G9" s="33">
        <f>D9*Input_values!$B$5*((1+Input_values!$B$6)^A9)</f>
        <v>16459881.409350919</v>
      </c>
      <c r="H9" s="33">
        <v>0</v>
      </c>
      <c r="I9" s="34">
        <f t="shared" si="4"/>
        <v>11120699.495330682</v>
      </c>
      <c r="J9" s="34">
        <f t="shared" si="0"/>
        <v>11120699.495330682</v>
      </c>
      <c r="K9" s="25">
        <f t="shared" si="5"/>
        <v>4.17688986830939E-2</v>
      </c>
      <c r="L9" s="7">
        <f t="shared" si="1"/>
        <v>12509509.871106699</v>
      </c>
      <c r="M9" s="17">
        <f t="shared" si="12"/>
        <v>0.95823110131690614</v>
      </c>
      <c r="N9" s="34">
        <f t="shared" si="2"/>
        <v>255122841.65486541</v>
      </c>
      <c r="O9" s="7">
        <f>N9*(Input_values!$B$7*(1+Input_values!$B$8)^A9)/(Input_values!$B$13*(1+Input_values!$B$14)^A9)</f>
        <v>123683918040.689</v>
      </c>
      <c r="P9" s="7">
        <f>O9*Input_values!$B$10</f>
        <v>1099178979.6276033</v>
      </c>
      <c r="Q9" s="17">
        <f>Input_values!L43+Input_values!N43</f>
        <v>0.47921578532239911</v>
      </c>
      <c r="R9" s="32">
        <f>I9*Input_values!$B$7</f>
        <v>128115435508.60092</v>
      </c>
      <c r="S9" s="7">
        <f>R9*Input_values!$B$11</f>
        <v>37153476297.494263</v>
      </c>
      <c r="T9" s="7">
        <f t="shared" si="6"/>
        <v>19348943976.133411</v>
      </c>
      <c r="U9" s="7">
        <f>T9*0.00045*model_energy_weight_us_ca!J20</f>
        <v>11545371.406326139</v>
      </c>
      <c r="V9" s="7">
        <f>O9*Input_values!$B$18</f>
        <v>167025411.73693535</v>
      </c>
      <c r="W9" s="7">
        <f t="shared" si="7"/>
        <v>1277749762.7708647</v>
      </c>
      <c r="X9" s="3">
        <f t="shared" si="8"/>
        <v>9.0357061630670314E-3</v>
      </c>
      <c r="Y9" s="3">
        <f t="shared" si="9"/>
        <v>0.99096429383693296</v>
      </c>
    </row>
    <row r="10" spans="1:25" x14ac:dyDescent="0.3">
      <c r="A10" s="1">
        <f t="shared" si="10"/>
        <v>7</v>
      </c>
      <c r="B10" s="38">
        <v>0.15</v>
      </c>
      <c r="C10" s="1">
        <f t="shared" si="3"/>
        <v>2027</v>
      </c>
      <c r="D10" s="7">
        <f>$D$2*(1+Input_values!$B$4)^(A10)</f>
        <v>268373489.47939771</v>
      </c>
      <c r="E10" s="3">
        <f>18%+B10</f>
        <v>0.32999999999999996</v>
      </c>
      <c r="F10" s="7">
        <f>E10*G10</f>
        <v>5502591.0267665219</v>
      </c>
      <c r="G10" s="33">
        <f>D10*Input_values!$B$5*((1+Input_values!$B$6)^A10)</f>
        <v>16674518.262928857</v>
      </c>
      <c r="H10" s="33">
        <v>0</v>
      </c>
      <c r="I10" s="34">
        <f t="shared" si="4"/>
        <v>16623290.522097204</v>
      </c>
      <c r="J10" s="34">
        <f t="shared" si="0"/>
        <v>16623290.522097204</v>
      </c>
      <c r="K10" s="25">
        <f t="shared" si="5"/>
        <v>6.1940881546622834E-2</v>
      </c>
      <c r="L10" s="7">
        <f t="shared" si="1"/>
        <v>11171927.236162335</v>
      </c>
      <c r="M10" s="17">
        <f t="shared" si="12"/>
        <v>0.93805911845337719</v>
      </c>
      <c r="N10" s="34">
        <f t="shared" si="2"/>
        <v>251750198.95730051</v>
      </c>
      <c r="O10" s="7">
        <f>N10*(Input_values!$B$7*(1+Input_values!$B$8)^A10)/(Input_values!$B$13*(1+Input_values!$B$14)^A10)</f>
        <v>121032185683.8287</v>
      </c>
      <c r="P10" s="7">
        <f>O10*Input_values!$B$10</f>
        <v>1075613034.1721859</v>
      </c>
      <c r="Q10" s="17">
        <f>Input_values!L44+Input_values!N44</f>
        <v>0.48289683839647213</v>
      </c>
      <c r="R10" s="32">
        <f>I10*Input_values!$B$7</f>
        <v>191507746946.91568</v>
      </c>
      <c r="S10" s="7">
        <f>R10*Input_values!$B$11</f>
        <v>55537246614.605545</v>
      </c>
      <c r="T10" s="7">
        <f t="shared" si="6"/>
        <v>28718485811.167351</v>
      </c>
      <c r="U10" s="7">
        <f>T10*0.00045*model_energy_weight_us_ca!J21</f>
        <v>16983854.795799382</v>
      </c>
      <c r="V10" s="7">
        <f>O10*Input_values!$B$18</f>
        <v>163444455.57273108</v>
      </c>
      <c r="W10" s="7">
        <f t="shared" si="7"/>
        <v>1256041344.5407164</v>
      </c>
      <c r="X10" s="3">
        <f t="shared" si="8"/>
        <v>1.3521732281837976E-2</v>
      </c>
      <c r="Y10" s="3">
        <f t="shared" si="9"/>
        <v>0.98647826771816205</v>
      </c>
    </row>
    <row r="11" spans="1:25" x14ac:dyDescent="0.3">
      <c r="A11" s="1">
        <f t="shared" si="10"/>
        <v>8</v>
      </c>
      <c r="B11" s="38">
        <v>0.2</v>
      </c>
      <c r="C11" s="1">
        <f t="shared" si="3"/>
        <v>2028</v>
      </c>
      <c r="D11" s="7">
        <f>$D$2*(1+Input_values!$B$4)^(A11)</f>
        <v>270520477.39523292</v>
      </c>
      <c r="E11" s="3">
        <f>22%+B11</f>
        <v>0.42000000000000004</v>
      </c>
      <c r="F11" s="7">
        <f t="shared" si="11"/>
        <v>7094620.6720525287</v>
      </c>
      <c r="G11" s="33">
        <f>D11*Input_values!$B$5*((1+Input_values!$B$6)^A11)</f>
        <v>16891953.981077448</v>
      </c>
      <c r="H11" s="33">
        <f>Input_values!B25</f>
        <v>17763</v>
      </c>
      <c r="I11" s="34">
        <f t="shared" si="4"/>
        <v>23700148.194149733</v>
      </c>
      <c r="J11" s="34">
        <f t="shared" si="0"/>
        <v>23700148.194149733</v>
      </c>
      <c r="K11" s="25">
        <f t="shared" si="5"/>
        <v>8.760944244351454E-2</v>
      </c>
      <c r="L11" s="7">
        <f t="shared" si="1"/>
        <v>9797333.3090249188</v>
      </c>
      <c r="M11" s="17">
        <f t="shared" si="12"/>
        <v>0.91239055755648546</v>
      </c>
      <c r="N11" s="34">
        <f t="shared" si="2"/>
        <v>246820329.20108318</v>
      </c>
      <c r="O11" s="7">
        <f>N11*(Input_values!$B$7*(1+Input_values!$B$8)^A11)/(Input_values!$B$13*(1+Input_values!$B$14)^A11)</f>
        <v>117673628140.18965</v>
      </c>
      <c r="P11" s="7">
        <f>O11*Input_values!$B$10</f>
        <v>1045765533.2818655</v>
      </c>
      <c r="Q11" s="17">
        <f>Input_values!L45+Input_values!N45</f>
        <v>0.48983874044010561</v>
      </c>
      <c r="R11" s="32">
        <f>I11*Input_values!$B$7</f>
        <v>273036314737.82452</v>
      </c>
      <c r="S11" s="7">
        <f>R11*Input_values!$B$11</f>
        <v>79180531273.969101</v>
      </c>
      <c r="T11" s="7">
        <f t="shared" si="6"/>
        <v>40394839567.349678</v>
      </c>
      <c r="U11" s="7">
        <f>T11*0.00045*model_energy_weight_us_ca!J22</f>
        <v>23976009.802425321</v>
      </c>
      <c r="V11" s="7">
        <f>O11*Input_values!$B$18</f>
        <v>158908987.53893253</v>
      </c>
      <c r="W11" s="7">
        <f t="shared" si="7"/>
        <v>1228650530.6232233</v>
      </c>
      <c r="X11" s="3">
        <f t="shared" si="8"/>
        <v>1.9514100392943858E-2</v>
      </c>
      <c r="Y11" s="3">
        <f t="shared" si="9"/>
        <v>0.98048589960705612</v>
      </c>
    </row>
    <row r="12" spans="1:25" x14ac:dyDescent="0.3">
      <c r="A12" s="1">
        <f t="shared" si="10"/>
        <v>9</v>
      </c>
      <c r="B12" s="38">
        <v>0.25</v>
      </c>
      <c r="C12" s="1">
        <f t="shared" si="3"/>
        <v>2029</v>
      </c>
      <c r="D12" s="7">
        <f>$D$2*(1+Input_values!$B$4)^(A12)</f>
        <v>272684641.21439481</v>
      </c>
      <c r="E12" s="3">
        <f>26%+B12</f>
        <v>0.51</v>
      </c>
      <c r="F12" s="7">
        <f t="shared" si="11"/>
        <v>8727234.7811052557</v>
      </c>
      <c r="G12" s="33">
        <f>D12*Input_values!$B$5*((1+Input_values!$B$6)^A12)</f>
        <v>17112225.060990699</v>
      </c>
      <c r="H12" s="33">
        <f>Input_values!B26</f>
        <v>53171</v>
      </c>
      <c r="I12" s="34">
        <f t="shared" si="4"/>
        <v>32374211.97525499</v>
      </c>
      <c r="J12" s="34">
        <f t="shared" si="0"/>
        <v>32374211.97525499</v>
      </c>
      <c r="K12" s="25">
        <f t="shared" si="5"/>
        <v>0.11872400231665846</v>
      </c>
      <c r="L12" s="7">
        <f t="shared" si="1"/>
        <v>8384990.279885442</v>
      </c>
      <c r="M12" s="17">
        <f t="shared" si="12"/>
        <v>0.88127599768334153</v>
      </c>
      <c r="N12" s="34">
        <f t="shared" si="2"/>
        <v>240310429.23913983</v>
      </c>
      <c r="O12" s="7">
        <f>N12*(Input_values!$B$7*(1+Input_values!$B$8)^A12)/(Input_values!$B$13*(1+Input_values!$B$14)^A12)</f>
        <v>113615608517.0706</v>
      </c>
      <c r="P12" s="7">
        <f>O12*Input_values!$B$10</f>
        <v>1009701912.8912065</v>
      </c>
      <c r="Q12" s="17">
        <f>Input_values!L46+Input_values!N46</f>
        <v>0.4969071354824206</v>
      </c>
      <c r="R12" s="32">
        <f>I12*Input_values!$B$7</f>
        <v>372965411770.99969</v>
      </c>
      <c r="S12" s="7">
        <f>R12*Input_values!$B$11</f>
        <v>108159969413.5899</v>
      </c>
      <c r="T12" s="7">
        <f t="shared" si="6"/>
        <v>54414508838.416718</v>
      </c>
      <c r="U12" s="7">
        <f>T12*0.00045*model_energy_weight_us_ca!J23</f>
        <v>32309915.707163773</v>
      </c>
      <c r="V12" s="7">
        <f>O12*Input_values!$B$18</f>
        <v>153428950.93332431</v>
      </c>
      <c r="W12" s="7">
        <f t="shared" si="7"/>
        <v>1195440779.5316947</v>
      </c>
      <c r="X12" s="3">
        <f t="shared" si="8"/>
        <v>2.7027617143712424E-2</v>
      </c>
      <c r="Y12" s="3">
        <f t="shared" si="9"/>
        <v>0.97297238285628762</v>
      </c>
    </row>
    <row r="13" spans="1:25" s="154" customFormat="1" x14ac:dyDescent="0.3">
      <c r="A13" s="144">
        <f t="shared" si="10"/>
        <v>10</v>
      </c>
      <c r="B13" s="165">
        <f>Input_values!$B$15</f>
        <v>0.05</v>
      </c>
      <c r="C13" s="144">
        <f t="shared" si="3"/>
        <v>2030</v>
      </c>
      <c r="D13" s="146">
        <f>$D$2*(1+Input_values!$B$4)^(A13)</f>
        <v>274866118.34410995</v>
      </c>
      <c r="E13" s="147">
        <v>1</v>
      </c>
      <c r="F13" s="146">
        <f t="shared" si="11"/>
        <v>17335368.475786015</v>
      </c>
      <c r="G13" s="148">
        <f>D13*Input_values!$B$5*((1+Input_values!$B$6)^A13)</f>
        <v>17335368.475786015</v>
      </c>
      <c r="H13" s="148">
        <f>Input_values!B27</f>
        <v>97102</v>
      </c>
      <c r="I13" s="150">
        <f t="shared" si="4"/>
        <v>49612478.451041006</v>
      </c>
      <c r="J13" s="150">
        <f t="shared" si="0"/>
        <v>49612478.451041006</v>
      </c>
      <c r="K13" s="151">
        <f t="shared" si="5"/>
        <v>0.180496886083756</v>
      </c>
      <c r="L13" s="146">
        <f t="shared" si="1"/>
        <v>0</v>
      </c>
      <c r="M13" s="152">
        <f>1-K13</f>
        <v>0.81950311391624397</v>
      </c>
      <c r="N13" s="150">
        <f t="shared" si="2"/>
        <v>225253639.89306894</v>
      </c>
      <c r="O13" s="146">
        <f>N13*(Input_values!$B$7*(1+Input_values!$B$8)^A13)/(Input_values!$B$13*(1+Input_values!$B$14)^A13)</f>
        <v>105609834051.92252</v>
      </c>
      <c r="P13" s="146">
        <f>O13*Input_values!$B$10</f>
        <v>938554595.21943545</v>
      </c>
      <c r="Q13" s="152">
        <f>Input_values!L47+Input_values!N47</f>
        <v>0.50453428873385486</v>
      </c>
      <c r="R13" s="153">
        <f>I13*Input_values!$B$7</f>
        <v>571557956950.90784</v>
      </c>
      <c r="S13" s="146">
        <f>R13*Input_values!$B$11</f>
        <v>165751807515.76328</v>
      </c>
      <c r="T13" s="146">
        <f t="shared" si="6"/>
        <v>82124337204.446838</v>
      </c>
      <c r="U13" s="7">
        <f>T13*0.00045*model_energy_weight_us_ca!J24</f>
        <v>48765160.122834578</v>
      </c>
      <c r="V13" s="146">
        <f>O13*Input_values!$B$18</f>
        <v>142617781.64392239</v>
      </c>
      <c r="W13" s="146">
        <f t="shared" si="7"/>
        <v>1129937536.9861925</v>
      </c>
      <c r="X13" s="147">
        <f t="shared" si="8"/>
        <v>4.3157394569705736E-2</v>
      </c>
      <c r="Y13" s="147">
        <f t="shared" si="9"/>
        <v>0.95684260543029431</v>
      </c>
    </row>
    <row r="14" spans="1:25" x14ac:dyDescent="0.3">
      <c r="A14" s="1">
        <f t="shared" si="10"/>
        <v>11</v>
      </c>
      <c r="B14" s="38">
        <f>Input_values!$B$15</f>
        <v>0.05</v>
      </c>
      <c r="C14" s="1">
        <f t="shared" si="3"/>
        <v>2031</v>
      </c>
      <c r="D14" s="7">
        <f>$D$2*(1+Input_values!$B$4)^(A14)</f>
        <v>277065047.29086286</v>
      </c>
      <c r="E14" s="3">
        <v>1</v>
      </c>
      <c r="F14" s="7">
        <f t="shared" si="11"/>
        <v>17561421.680710264</v>
      </c>
      <c r="G14" s="33">
        <f>D14*Input_values!$B$5*((1+Input_values!$B$6)^A14)</f>
        <v>17561421.680710264</v>
      </c>
      <c r="H14" s="33">
        <f>Input_values!B28</f>
        <v>118882</v>
      </c>
      <c r="I14" s="34">
        <f t="shared" si="4"/>
        <v>67055018.131751269</v>
      </c>
      <c r="J14" s="34">
        <f t="shared" si="0"/>
        <v>67055018.131751269</v>
      </c>
      <c r="K14" s="25">
        <f t="shared" si="5"/>
        <v>0.24201904494058002</v>
      </c>
      <c r="L14" s="7">
        <f t="shared" si="1"/>
        <v>0</v>
      </c>
      <c r="M14" s="17">
        <f t="shared" si="12"/>
        <v>0.75798095505941998</v>
      </c>
      <c r="N14" s="34">
        <f t="shared" si="2"/>
        <v>210010029.15911159</v>
      </c>
      <c r="O14" s="7">
        <f>N14*(Input_values!$B$7*(1+Input_values!$B$8)^A14)/(Input_values!$B$13*(1+Input_values!$B$14)^A14)</f>
        <v>97642691224.317032</v>
      </c>
      <c r="P14" s="7">
        <f>O14*Input_values!$B$10</f>
        <v>867750596.91050553</v>
      </c>
      <c r="Q14" s="17">
        <f>Input_values!L48+Input_values!N48</f>
        <v>0.50568832355593707</v>
      </c>
      <c r="R14" s="32">
        <f>I14*Input_values!$B$7</f>
        <v>772503820878.66968</v>
      </c>
      <c r="S14" s="7">
        <f>R14*Input_values!$B$11</f>
        <v>224026108054.81418</v>
      </c>
      <c r="T14" s="7">
        <f t="shared" si="6"/>
        <v>110738721039.81398</v>
      </c>
      <c r="U14" s="7">
        <f>T14*0.00045*model_energy_weight_us_ca!J25</f>
        <v>65400897.011342891</v>
      </c>
      <c r="V14" s="7">
        <f>O14*Input_values!$B$18</f>
        <v>131858781.34519312</v>
      </c>
      <c r="W14" s="7">
        <f t="shared" si="7"/>
        <v>1065010275.2670416</v>
      </c>
      <c r="X14" s="3">
        <f t="shared" si="8"/>
        <v>6.1408700488776238E-2</v>
      </c>
      <c r="Y14" s="3">
        <f t="shared" si="9"/>
        <v>0.93859129951122378</v>
      </c>
    </row>
    <row r="15" spans="1:25" x14ac:dyDescent="0.3">
      <c r="A15" s="1">
        <f t="shared" si="10"/>
        <v>12</v>
      </c>
      <c r="B15" s="38">
        <f>Input_values!$B$15</f>
        <v>0.05</v>
      </c>
      <c r="C15" s="1">
        <f t="shared" si="3"/>
        <v>2032</v>
      </c>
      <c r="D15" s="7">
        <f>$D$2*(1+Input_values!$B$4)^(A15)</f>
        <v>279281567.66918975</v>
      </c>
      <c r="E15" s="3">
        <v>1</v>
      </c>
      <c r="F15" s="7">
        <f t="shared" si="11"/>
        <v>17790422.61942672</v>
      </c>
      <c r="G15" s="33">
        <f>D15*Input_values!$B$5*((1+Input_values!$B$6)^A15)</f>
        <v>17790422.61942672</v>
      </c>
      <c r="H15" s="33">
        <f>Input_values!B29</f>
        <v>114023</v>
      </c>
      <c r="I15" s="34">
        <f t="shared" si="4"/>
        <v>84731417.751177996</v>
      </c>
      <c r="J15" s="34">
        <f t="shared" si="0"/>
        <v>84731417.751177996</v>
      </c>
      <c r="K15" s="25">
        <f t="shared" si="5"/>
        <v>0.30339065502361667</v>
      </c>
      <c r="L15" s="7">
        <f t="shared" si="1"/>
        <v>0</v>
      </c>
      <c r="M15" s="17">
        <f t="shared" si="12"/>
        <v>0.69660934497638327</v>
      </c>
      <c r="N15" s="34">
        <f t="shared" si="2"/>
        <v>194550149.91801175</v>
      </c>
      <c r="O15" s="7">
        <f>N15*(Input_values!$B$7*(1+Input_values!$B$8)^A15)/(Input_values!$B$13*(1+Input_values!$B$14)^A15)</f>
        <v>89701238318.232956</v>
      </c>
      <c r="P15" s="7">
        <f>O15*Input_values!$B$10</f>
        <v>797174904.93413639</v>
      </c>
      <c r="Q15" s="17">
        <f>Input_values!L49+Input_values!N49</f>
        <v>0.50747174284039853</v>
      </c>
      <c r="R15" s="32">
        <f>I15*Input_values!$B$7</f>
        <v>976143855969.78796</v>
      </c>
      <c r="S15" s="7">
        <f>R15*Input_values!$B$11</f>
        <v>283081718231.23846</v>
      </c>
      <c r="T15" s="7">
        <f t="shared" si="6"/>
        <v>139425745314.17728</v>
      </c>
      <c r="U15" s="7">
        <f>T15*0.00045*model_energy_weight_us_ca!J26</f>
        <v>81973337.443385616</v>
      </c>
      <c r="V15" s="7">
        <f>O15*Input_values!$B$18</f>
        <v>121134473.26666173</v>
      </c>
      <c r="W15" s="7">
        <f t="shared" si="7"/>
        <v>1000282715.6441838</v>
      </c>
      <c r="X15" s="3">
        <f t="shared" si="8"/>
        <v>8.1950168848608618E-2</v>
      </c>
      <c r="Y15" s="3">
        <f t="shared" si="9"/>
        <v>0.91804983115139138</v>
      </c>
    </row>
    <row r="16" spans="1:25" x14ac:dyDescent="0.3">
      <c r="A16" s="1">
        <f t="shared" si="10"/>
        <v>13</v>
      </c>
      <c r="B16" s="38">
        <f>Input_values!$B$15</f>
        <v>0.05</v>
      </c>
      <c r="C16" s="1">
        <f t="shared" si="3"/>
        <v>2033</v>
      </c>
      <c r="D16" s="7">
        <f>$D$2*(1+Input_values!$B$4)^(A16)</f>
        <v>281515820.21054322</v>
      </c>
      <c r="E16" s="3">
        <v>1</v>
      </c>
      <c r="F16" s="7">
        <f t="shared" si="11"/>
        <v>18022409.730384041</v>
      </c>
      <c r="G16" s="33">
        <f>D16*Input_values!$B$5*((1+Input_values!$B$6)^A16)</f>
        <v>18022409.730384041</v>
      </c>
      <c r="H16" s="33">
        <f>Input_values!B30</f>
        <v>159616</v>
      </c>
      <c r="I16" s="34">
        <f t="shared" si="4"/>
        <v>102594211.48156203</v>
      </c>
      <c r="J16" s="34">
        <f t="shared" si="0"/>
        <v>102594211.48156203</v>
      </c>
      <c r="K16" s="25">
        <f t="shared" si="5"/>
        <v>0.36443497706392741</v>
      </c>
      <c r="L16" s="7">
        <f t="shared" si="1"/>
        <v>0</v>
      </c>
      <c r="M16" s="17">
        <f t="shared" si="12"/>
        <v>0.63556502293607253</v>
      </c>
      <c r="N16" s="34">
        <f t="shared" si="2"/>
        <v>178921608.7289812</v>
      </c>
      <c r="O16" s="7">
        <f>N16*(Input_values!$B$7*(1+Input_values!$B$8)^A16)/(Input_values!$B$13*(1+Input_values!$B$14)^A16)</f>
        <v>81808197913.85672</v>
      </c>
      <c r="P16" s="7">
        <f>O16*Input_values!$B$10</f>
        <v>727029454.86044478</v>
      </c>
      <c r="Q16" s="17">
        <f>Input_values!L50+Input_values!N50</f>
        <v>0.51176480957801385</v>
      </c>
      <c r="R16" s="32">
        <f>I16*Input_values!$B$7</f>
        <v>1181931234644.0652</v>
      </c>
      <c r="S16" s="7">
        <f>R16*Input_values!$B$11</f>
        <v>342760058046.77887</v>
      </c>
      <c r="T16" s="7">
        <f t="shared" si="6"/>
        <v>167347522209.52011</v>
      </c>
      <c r="U16" s="7">
        <f>T16*0.00045*model_energy_weight_us_ca!J27</f>
        <v>98287873.067624405</v>
      </c>
      <c r="V16" s="7">
        <f>O16*Input_values!$B$18</f>
        <v>110475542.46723875</v>
      </c>
      <c r="W16" s="7">
        <f t="shared" si="7"/>
        <v>935792870.39530802</v>
      </c>
      <c r="X16" s="3">
        <f t="shared" si="8"/>
        <v>0.10503165409467648</v>
      </c>
      <c r="Y16" s="3">
        <f t="shared" si="9"/>
        <v>0.89496834590532348</v>
      </c>
    </row>
    <row r="17" spans="1:25" x14ac:dyDescent="0.3">
      <c r="A17" s="1">
        <f t="shared" si="10"/>
        <v>14</v>
      </c>
      <c r="B17" s="38">
        <f>Input_values!$B$15</f>
        <v>0.05</v>
      </c>
      <c r="C17" s="1">
        <f t="shared" si="3"/>
        <v>2034</v>
      </c>
      <c r="D17" s="7">
        <f>$D$2*(1+Input_values!$B$4)^(A17)</f>
        <v>283767946.77222764</v>
      </c>
      <c r="E17" s="3">
        <v>1</v>
      </c>
      <c r="F17" s="7">
        <f t="shared" si="11"/>
        <v>18257421.953268249</v>
      </c>
      <c r="G17" s="33">
        <f>D17*Input_values!$B$5*((1+Input_values!$B$6)^A17)</f>
        <v>18257421.953268249</v>
      </c>
      <c r="H17" s="33">
        <f>Input_values!B31</f>
        <v>195581</v>
      </c>
      <c r="I17" s="34">
        <f t="shared" si="4"/>
        <v>120656052.43483028</v>
      </c>
      <c r="J17" s="34">
        <f t="shared" si="0"/>
        <v>120656052.43483028</v>
      </c>
      <c r="K17" s="25">
        <f t="shared" si="5"/>
        <v>0.42519267523783233</v>
      </c>
      <c r="L17" s="7">
        <f t="shared" si="1"/>
        <v>0</v>
      </c>
      <c r="M17" s="17">
        <f t="shared" si="12"/>
        <v>0.57480732476216767</v>
      </c>
      <c r="N17" s="34">
        <f t="shared" si="2"/>
        <v>163111894.33739737</v>
      </c>
      <c r="O17" s="7">
        <f>N17*(Input_values!$B$7*(1+Input_values!$B$8)^A17)/(Input_values!$B$13*(1+Input_values!$B$14)^A17)</f>
        <v>73958284036.942062</v>
      </c>
      <c r="P17" s="7">
        <f>O17*Input_values!$B$10</f>
        <v>657267270.23630416</v>
      </c>
      <c r="Q17" s="17">
        <f>Input_values!L51+Input_values!N51</f>
        <v>0.51740989906551482</v>
      </c>
      <c r="R17" s="32">
        <f>I17*Input_values!$B$7</f>
        <v>1390011726414.0872</v>
      </c>
      <c r="S17" s="7">
        <f>R17*Input_values!$B$11</f>
        <v>403103400660.08527</v>
      </c>
      <c r="T17" s="7">
        <f t="shared" si="6"/>
        <v>194533710811.58478</v>
      </c>
      <c r="U17" s="7">
        <f>T17*0.00045*model_energy_weight_us_ca!J28</f>
        <v>114078289.55001271</v>
      </c>
      <c r="V17" s="7">
        <f>O17*Input_values!$B$18</f>
        <v>99874850.654097602</v>
      </c>
      <c r="W17" s="7">
        <f t="shared" si="7"/>
        <v>871220410.44041443</v>
      </c>
      <c r="X17" s="3">
        <f t="shared" si="8"/>
        <v>0.13094079085262075</v>
      </c>
      <c r="Y17" s="3">
        <f t="shared" si="9"/>
        <v>0.86905920914737922</v>
      </c>
    </row>
    <row r="18" spans="1:25" x14ac:dyDescent="0.3">
      <c r="A18" s="1">
        <f t="shared" si="10"/>
        <v>15</v>
      </c>
      <c r="B18" s="38">
        <f>Input_values!$B$15</f>
        <v>0.05</v>
      </c>
      <c r="C18" s="1">
        <f t="shared" si="3"/>
        <v>2035</v>
      </c>
      <c r="D18" s="7">
        <f>$D$2*(1+Input_values!$B$4)^(A18)</f>
        <v>286038090.34640545</v>
      </c>
      <c r="E18" s="3">
        <v>1</v>
      </c>
      <c r="F18" s="7">
        <f t="shared" si="11"/>
        <v>18495498.735538859</v>
      </c>
      <c r="G18" s="33">
        <f>D18*Input_values!$B$5*((1+Input_values!$B$6)^A18)</f>
        <v>18495498.735538859</v>
      </c>
      <c r="H18" s="33">
        <f>Input_values!B32</f>
        <v>361315</v>
      </c>
      <c r="I18" s="34">
        <f t="shared" si="4"/>
        <v>138790236.17036915</v>
      </c>
      <c r="J18" s="34">
        <f t="shared" si="0"/>
        <v>138790236.17036915</v>
      </c>
      <c r="K18" s="25">
        <f t="shared" si="5"/>
        <v>0.48521592352363879</v>
      </c>
      <c r="L18" s="7">
        <f t="shared" si="1"/>
        <v>0</v>
      </c>
      <c r="M18" s="17">
        <f t="shared" si="12"/>
        <v>0.51478407647636115</v>
      </c>
      <c r="N18" s="34">
        <f t="shared" si="2"/>
        <v>147247854.1760363</v>
      </c>
      <c r="O18" s="7">
        <f>N18*(Input_values!$B$7*(1+Input_values!$B$8)^A18)/(Input_values!$B$13*(1+Input_values!$B$14)^A18)</f>
        <v>66209046311.042168</v>
      </c>
      <c r="P18" s="7">
        <f>O18*Input_values!$B$10</f>
        <v>588399794.56623185</v>
      </c>
      <c r="Q18" s="17">
        <f>Input_values!L52+Input_values!N52</f>
        <v>0.52315618055416779</v>
      </c>
      <c r="R18" s="32">
        <f>I18*Input_values!$B$7</f>
        <v>1598925639414.5271</v>
      </c>
      <c r="S18" s="7">
        <f>R18*Input_values!$B$11</f>
        <v>463688435430.21283</v>
      </c>
      <c r="T18" s="7">
        <f t="shared" si="6"/>
        <v>221106964583.40485</v>
      </c>
      <c r="U18" s="7">
        <f>T18*0.00045*model_energy_weight_us_ca!J29</f>
        <v>129213405.4316918</v>
      </c>
      <c r="V18" s="7">
        <f>O18*Input_values!$B$18</f>
        <v>89410114.071367234</v>
      </c>
      <c r="W18" s="7">
        <f t="shared" si="7"/>
        <v>807023314.06929088</v>
      </c>
      <c r="X18" s="3">
        <f t="shared" si="8"/>
        <v>0.16011111845103096</v>
      </c>
      <c r="Y18" s="3">
        <f t="shared" si="9"/>
        <v>0.83988888154896901</v>
      </c>
    </row>
    <row r="19" spans="1:25" x14ac:dyDescent="0.3">
      <c r="A19" s="1">
        <f t="shared" si="10"/>
        <v>16</v>
      </c>
      <c r="B19" s="38">
        <f>Input_values!$B$15</f>
        <v>0.05</v>
      </c>
      <c r="C19" s="1">
        <f t="shared" si="3"/>
        <v>2036</v>
      </c>
      <c r="D19" s="7">
        <f>$D$2*(1+Input_values!$B$4)^(A19)</f>
        <v>288326395.06917673</v>
      </c>
      <c r="E19" s="3">
        <v>1</v>
      </c>
      <c r="F19" s="7">
        <f t="shared" si="11"/>
        <v>18736680.039050288</v>
      </c>
      <c r="G19" s="33">
        <f>D19*Input_values!$B$5*((1+Input_values!$B$6)^A19)</f>
        <v>18736680.039050288</v>
      </c>
      <c r="H19" s="33">
        <f>Input_values!B33</f>
        <v>326644</v>
      </c>
      <c r="I19" s="34">
        <f t="shared" si="4"/>
        <v>157200272.20941943</v>
      </c>
      <c r="J19" s="34">
        <f t="shared" si="0"/>
        <v>157200272.20941943</v>
      </c>
      <c r="K19" s="25">
        <f t="shared" si="5"/>
        <v>0.54521637594679162</v>
      </c>
      <c r="L19" s="7">
        <f t="shared" si="1"/>
        <v>0</v>
      </c>
      <c r="M19" s="17">
        <f t="shared" si="12"/>
        <v>0.45478362405320838</v>
      </c>
      <c r="N19" s="34">
        <f t="shared" si="2"/>
        <v>131126122.8597573</v>
      </c>
      <c r="O19" s="7">
        <f>N19*(Input_values!$B$7*(1+Input_values!$B$8)^A19)/(Input_values!$B$13*(1+Input_values!$B$14)^A19)</f>
        <v>58468875428.202637</v>
      </c>
      <c r="P19" s="7">
        <f>O19*Input_values!$B$10</f>
        <v>519612895.93043685</v>
      </c>
      <c r="Q19" s="17">
        <f>Input_values!L53+Input_values!N53</f>
        <v>0.52673018138622829</v>
      </c>
      <c r="R19" s="32">
        <f>I19*Input_values!$B$7</f>
        <v>1811017494415.4009</v>
      </c>
      <c r="S19" s="7">
        <f>R19*Input_values!$B$11</f>
        <v>525195073380.46625</v>
      </c>
      <c r="T19" s="7">
        <f t="shared" si="6"/>
        <v>248558977115.61978</v>
      </c>
      <c r="U19" s="7">
        <f>T19*0.00045*model_energy_weight_us_ca!J30</f>
        <v>145009542.57416365</v>
      </c>
      <c r="V19" s="7">
        <f>O19*Input_values!$B$18</f>
        <v>78957621.547681093</v>
      </c>
      <c r="W19" s="7">
        <f t="shared" si="7"/>
        <v>743580060.05228162</v>
      </c>
      <c r="X19" s="3">
        <f t="shared" si="8"/>
        <v>0.19501537274139374</v>
      </c>
      <c r="Y19" s="3">
        <f t="shared" si="9"/>
        <v>0.80498462725860631</v>
      </c>
    </row>
    <row r="20" spans="1:25" x14ac:dyDescent="0.3">
      <c r="A20" s="1">
        <f t="shared" si="10"/>
        <v>17</v>
      </c>
      <c r="B20" s="38">
        <f>Input_values!$B$15</f>
        <v>0.05</v>
      </c>
      <c r="C20" s="1">
        <f t="shared" si="3"/>
        <v>2037</v>
      </c>
      <c r="D20" s="7">
        <f>$D$2*(1+Input_values!$B$4)^(A20)</f>
        <v>290633006.22973013</v>
      </c>
      <c r="E20" s="3">
        <v>1</v>
      </c>
      <c r="F20" s="7">
        <f>E20*G20</f>
        <v>18981006.346759506</v>
      </c>
      <c r="G20" s="33">
        <f>D20*Input_values!$B$5*((1+Input_values!$B$6)^A20)</f>
        <v>18981006.346759506</v>
      </c>
      <c r="H20" s="33">
        <f t="shared" ref="H20:H33" si="13">F3</f>
        <v>328000</v>
      </c>
      <c r="I20" s="34">
        <f t="shared" si="4"/>
        <v>175853278.55617893</v>
      </c>
      <c r="J20" s="34">
        <f t="shared" si="0"/>
        <v>175853278.55617893</v>
      </c>
      <c r="K20" s="25">
        <f t="shared" si="5"/>
        <v>0.60506988121361605</v>
      </c>
      <c r="L20" s="7">
        <f t="shared" si="1"/>
        <v>0</v>
      </c>
      <c r="M20" s="17">
        <f t="shared" si="12"/>
        <v>0.39493011878638395</v>
      </c>
      <c r="N20" s="34">
        <f t="shared" si="2"/>
        <v>114779727.6735512</v>
      </c>
      <c r="O20" s="7">
        <f>N20*(Input_values!$B$7*(1+Input_values!$B$8)^A20)/(Input_values!$B$13*(1+Input_values!$B$14)^A20)</f>
        <v>50753719327.779922</v>
      </c>
      <c r="P20" s="7">
        <f>O20*Input_values!$B$10</f>
        <v>451048303.66598022</v>
      </c>
      <c r="Q20" s="17">
        <f>Input_values!L54+Input_values!N54</f>
        <v>0.52637982951186624</v>
      </c>
      <c r="R20" s="32">
        <f>I20*Input_values!$B$7</f>
        <v>2025908476107.981</v>
      </c>
      <c r="S20" s="7">
        <f>R20*Input_values!$B$11</f>
        <v>587513458071.31445</v>
      </c>
      <c r="T20" s="7">
        <f t="shared" si="6"/>
        <v>278258224175.80896</v>
      </c>
      <c r="U20" s="7">
        <f>T20*0.00045*model_energy_weight_us_ca!J31</f>
        <v>161402249.13427937</v>
      </c>
      <c r="V20" s="7">
        <f>O20*Input_values!$B$18</f>
        <v>68538909.521887198</v>
      </c>
      <c r="W20" s="7">
        <f t="shared" si="7"/>
        <v>680989462.32214677</v>
      </c>
      <c r="X20" s="3">
        <f t="shared" si="8"/>
        <v>0.23701137545345294</v>
      </c>
      <c r="Y20" s="3">
        <f t="shared" si="9"/>
        <v>0.76298862454654703</v>
      </c>
    </row>
    <row r="21" spans="1:25" x14ac:dyDescent="0.3">
      <c r="A21" s="1">
        <f t="shared" si="10"/>
        <v>18</v>
      </c>
      <c r="B21" s="38">
        <f>Input_values!$B$15</f>
        <v>0.05</v>
      </c>
      <c r="C21" s="1">
        <f t="shared" si="3"/>
        <v>2038</v>
      </c>
      <c r="D21" s="7">
        <f>$D$2*(1+Input_values!$B$4)^(A21)</f>
        <v>292958070.27956802</v>
      </c>
      <c r="E21" s="3">
        <v>1</v>
      </c>
      <c r="F21" s="7">
        <f>E21*G21</f>
        <v>19228518.669521242</v>
      </c>
      <c r="G21" s="33">
        <f>D21*Input_values!$B$5*((1+Input_values!$B$6)^A21)</f>
        <v>19228518.669521242</v>
      </c>
      <c r="H21" s="33">
        <f t="shared" si="13"/>
        <v>617097.41030246392</v>
      </c>
      <c r="I21" s="34">
        <f t="shared" si="4"/>
        <v>194464699.81539771</v>
      </c>
      <c r="J21" s="34">
        <f t="shared" si="0"/>
        <v>194464699.81539771</v>
      </c>
      <c r="K21" s="25">
        <f t="shared" si="5"/>
        <v>0.6637970397259283</v>
      </c>
      <c r="L21" s="7">
        <f t="shared" si="1"/>
        <v>0</v>
      </c>
      <c r="M21" s="17">
        <f t="shared" si="12"/>
        <v>0.3362029602740717</v>
      </c>
      <c r="N21" s="34">
        <f t="shared" si="2"/>
        <v>98493370.464170307</v>
      </c>
      <c r="O21" s="7">
        <f>N21*(Input_values!$B$7*(1+Input_values!$B$8)^A21)/(Input_values!$B$13*(1+Input_values!$B$14)^A21)</f>
        <v>43189367706.371742</v>
      </c>
      <c r="P21" s="7">
        <f>O21*Input_values!$B$10</f>
        <v>383823910.80652571</v>
      </c>
      <c r="Q21" s="17">
        <f>Input_values!L55+Input_values!N55</f>
        <v>0.52426260935727664</v>
      </c>
      <c r="R21" s="32">
        <f>I21*Input_values!$B$7</f>
        <v>2240320378979.7388</v>
      </c>
      <c r="S21" s="7">
        <f>R21*Input_values!$B$11</f>
        <v>649692909904.12415</v>
      </c>
      <c r="T21" s="7">
        <f t="shared" si="6"/>
        <v>309083209676.86597</v>
      </c>
      <c r="U21" s="7">
        <f>T21*0.00045*model_energy_weight_us_ca!J32</f>
        <v>177591525.45786932</v>
      </c>
      <c r="V21" s="7">
        <f>O21*Input_values!$B$18</f>
        <v>58323847.094183266</v>
      </c>
      <c r="W21" s="7">
        <f t="shared" si="7"/>
        <v>619739283.35857821</v>
      </c>
      <c r="X21" s="3">
        <f t="shared" si="8"/>
        <v>0.28655844518269097</v>
      </c>
      <c r="Y21" s="3">
        <f t="shared" si="9"/>
        <v>0.71344155481730898</v>
      </c>
    </row>
    <row r="22" spans="1:25" x14ac:dyDescent="0.3">
      <c r="A22" s="1">
        <f t="shared" si="10"/>
        <v>19</v>
      </c>
      <c r="B22" s="38">
        <f>Input_values!$B$15</f>
        <v>0.05</v>
      </c>
      <c r="C22" s="1">
        <f t="shared" si="3"/>
        <v>2039</v>
      </c>
      <c r="D22" s="7">
        <f>$D$2*(1+Input_values!$B$4)^(A22)</f>
        <v>295301734.84180456</v>
      </c>
      <c r="E22" s="3">
        <v>1</v>
      </c>
      <c r="F22" s="7">
        <f>E22*G22</f>
        <v>19479258.552971799</v>
      </c>
      <c r="G22" s="33">
        <f>D22*Input_values!$B$5*((1+Input_values!$B$6)^A22)</f>
        <v>19479258.552971799</v>
      </c>
      <c r="H22" s="33">
        <f t="shared" si="13"/>
        <v>781430.45066601003</v>
      </c>
      <c r="I22" s="34">
        <f t="shared" si="4"/>
        <v>213162527.91770351</v>
      </c>
      <c r="J22" s="34">
        <f t="shared" si="0"/>
        <v>213162527.91770351</v>
      </c>
      <c r="K22" s="25">
        <f t="shared" si="5"/>
        <v>0.72184651414898171</v>
      </c>
      <c r="L22" s="7">
        <f t="shared" si="1"/>
        <v>0</v>
      </c>
      <c r="M22" s="17">
        <f t="shared" si="12"/>
        <v>0.27815348585101829</v>
      </c>
      <c r="N22" s="34">
        <f t="shared" si="2"/>
        <v>82139206.924101055</v>
      </c>
      <c r="O22" s="7">
        <f>N22*(Input_values!$B$7*(1+Input_values!$B$8)^A22)/(Input_values!$B$13*(1+Input_values!$B$14)^A22)</f>
        <v>35718031419.257492</v>
      </c>
      <c r="P22" s="7">
        <f>O22*Input_values!$B$10</f>
        <v>317426145.22294134</v>
      </c>
      <c r="Q22" s="17">
        <f>Input_values!L56+Input_values!N56</f>
        <v>0.52304249188586138</v>
      </c>
      <c r="R22" s="32">
        <f>I22*Input_values!$B$7</f>
        <v>2455727727357.21</v>
      </c>
      <c r="S22" s="7">
        <f>R22*Input_values!$B$11</f>
        <v>712161040933.59082</v>
      </c>
      <c r="T22" s="7">
        <f t="shared" si="6"/>
        <v>339670555459.65656</v>
      </c>
      <c r="U22" s="7">
        <f>T22*0.00045*model_energy_weight_us_ca!J33</f>
        <v>194168050.92761171</v>
      </c>
      <c r="V22" s="7">
        <f>O22*Input_values!$B$18</f>
        <v>48234394.565926246</v>
      </c>
      <c r="W22" s="7">
        <f t="shared" si="7"/>
        <v>559828590.7164793</v>
      </c>
      <c r="X22" s="3">
        <f t="shared" si="8"/>
        <v>0.34683482435063157</v>
      </c>
      <c r="Y22" s="3">
        <f t="shared" si="9"/>
        <v>0.65316517564936838</v>
      </c>
    </row>
    <row r="23" spans="1:25" x14ac:dyDescent="0.3">
      <c r="A23" s="1">
        <f t="shared" si="10"/>
        <v>20</v>
      </c>
      <c r="B23" s="38">
        <f>Input_values!$B$15</f>
        <v>0.05</v>
      </c>
      <c r="C23" s="1">
        <f t="shared" si="3"/>
        <v>2040</v>
      </c>
      <c r="D23" s="7">
        <f>$D$2*(1+Input_values!$B$4)^(A23)</f>
        <v>297664148.72053903</v>
      </c>
      <c r="E23" s="3">
        <v>1</v>
      </c>
      <c r="F23" s="7">
        <f>E23*G23</f>
        <v>19733268.084502552</v>
      </c>
      <c r="G23" s="33">
        <f>D23*Input_values!$B$5*((1+Input_values!$B$6)^A23)</f>
        <v>19733268.084502552</v>
      </c>
      <c r="H23" s="33">
        <f t="shared" si="13"/>
        <v>949944.36449123383</v>
      </c>
      <c r="I23" s="34">
        <f>IF(F23+I22-H23&gt;D23,D23,F23+I22-H23)</f>
        <v>231945851.63771483</v>
      </c>
      <c r="J23" s="34">
        <f t="shared" si="0"/>
        <v>231945851.63771483</v>
      </c>
      <c r="K23" s="25">
        <f t="shared" si="5"/>
        <v>0.77921997874012161</v>
      </c>
      <c r="L23" s="7">
        <f t="shared" si="1"/>
        <v>0</v>
      </c>
      <c r="M23" s="17">
        <f t="shared" si="12"/>
        <v>0.22078002125987839</v>
      </c>
      <c r="N23" s="34">
        <f t="shared" si="2"/>
        <v>65718297.0828242</v>
      </c>
      <c r="O23" s="7">
        <f>N23*(Input_values!$B$7*(1+Input_values!$B$8)^A23)/(Input_values!$B$13*(1+Input_values!$B$14)^A23)</f>
        <v>28339388437.137486</v>
      </c>
      <c r="P23" s="7">
        <f>O23*Input_values!$B$10</f>
        <v>251852145.04084086</v>
      </c>
      <c r="Q23" s="17">
        <f>Input_values!L57+Input_values!N57</f>
        <v>0.52283963702227865</v>
      </c>
      <c r="R23" s="32">
        <f>I23*Input_values!$B$7</f>
        <v>2672120023516.1602</v>
      </c>
      <c r="S23" s="7">
        <f>R23*Input_values!$B$11</f>
        <v>774914806819.6864</v>
      </c>
      <c r="T23" s="7">
        <f t="shared" si="6"/>
        <v>369758630498.8924</v>
      </c>
      <c r="U23" s="7">
        <f>T23*0.00045*model_energy_weight_us_ca!J34</f>
        <v>210478757.28180867</v>
      </c>
      <c r="V23" s="7">
        <f>O23*Input_values!$B$18</f>
        <v>38270117.061853275</v>
      </c>
      <c r="W23" s="7">
        <f t="shared" si="7"/>
        <v>500601019.38450283</v>
      </c>
      <c r="X23" s="3">
        <f t="shared" si="8"/>
        <v>0.42045211482109196</v>
      </c>
      <c r="Y23" s="3">
        <f t="shared" si="9"/>
        <v>0.57954788517890798</v>
      </c>
    </row>
    <row r="24" spans="1:25" x14ac:dyDescent="0.3">
      <c r="A24" s="1">
        <f t="shared" si="10"/>
        <v>21</v>
      </c>
      <c r="B24" s="38">
        <f>Input_values!$B$15</f>
        <v>0.05</v>
      </c>
      <c r="C24" s="1">
        <f t="shared" si="3"/>
        <v>2041</v>
      </c>
      <c r="D24" s="7">
        <f>$D$2*(1+Input_values!$B$4)^(A24)</f>
        <v>300045461.91030335</v>
      </c>
      <c r="E24" s="3">
        <v>1</v>
      </c>
      <c r="F24" s="7">
        <f t="shared" si="11"/>
        <v>19990589.90032446</v>
      </c>
      <c r="G24" s="33">
        <f>D24*Input_values!$B$5*((1+Input_values!$B$6)^A24)</f>
        <v>19990589.90032446</v>
      </c>
      <c r="H24" s="33">
        <f t="shared" si="13"/>
        <v>1202914.5487552488</v>
      </c>
      <c r="I24" s="34">
        <f t="shared" si="4"/>
        <v>250733526.98928404</v>
      </c>
      <c r="J24" s="34">
        <f t="shared" si="0"/>
        <v>250733526.98928404</v>
      </c>
      <c r="K24" s="25">
        <f t="shared" si="5"/>
        <v>0.83565178887537783</v>
      </c>
      <c r="L24" s="7">
        <f t="shared" si="1"/>
        <v>0</v>
      </c>
      <c r="M24" s="17">
        <f t="shared" si="12"/>
        <v>0.16434821112462217</v>
      </c>
      <c r="N24" s="34">
        <f t="shared" si="2"/>
        <v>49311934.921019316</v>
      </c>
      <c r="O24" s="7">
        <f>N24*(Input_values!$B$7*(1+Input_values!$B$8)^A24)/(Input_values!$B$13*(1+Input_values!$B$14)^A24)</f>
        <v>21087416675.016624</v>
      </c>
      <c r="P24" s="7">
        <f>O24*Input_values!$B$10</f>
        <v>187403871.99087277</v>
      </c>
      <c r="Q24" s="17">
        <f>Input_values!L58+Input_values!N58</f>
        <v>0.52393292051979379</v>
      </c>
      <c r="R24" s="32">
        <f>I24*Input_values!$B$7</f>
        <v>2888562452418.3286</v>
      </c>
      <c r="S24" s="7">
        <f>R24*Input_values!$B$11</f>
        <v>837683111201.31519</v>
      </c>
      <c r="T24" s="7">
        <f t="shared" si="6"/>
        <v>398793352279.50293</v>
      </c>
      <c r="U24" s="7">
        <f>T24*0.00045*model_energy_weight_us_ca!J35</f>
        <v>226277207.41962868</v>
      </c>
      <c r="V24" s="7">
        <f>O24*Input_values!$B$18</f>
        <v>28476899.086057991</v>
      </c>
      <c r="W24" s="7">
        <f t="shared" si="7"/>
        <v>442157978.4965595</v>
      </c>
      <c r="X24" s="3">
        <f t="shared" si="8"/>
        <v>0.51175647262777912</v>
      </c>
      <c r="Y24" s="3">
        <f t="shared" si="9"/>
        <v>0.48824352737222088</v>
      </c>
    </row>
    <row r="25" spans="1:25" s="21" customFormat="1" x14ac:dyDescent="0.3">
      <c r="A25" s="19">
        <f t="shared" si="10"/>
        <v>22</v>
      </c>
      <c r="B25" s="38">
        <f>Input_values!$B$15</f>
        <v>0.05</v>
      </c>
      <c r="C25" s="19">
        <f t="shared" si="3"/>
        <v>2042</v>
      </c>
      <c r="D25" s="7">
        <f>$D$2*(1+Input_values!$B$4)^(A25)</f>
        <v>302445825.60558575</v>
      </c>
      <c r="E25" s="30">
        <v>1</v>
      </c>
      <c r="F25" s="7">
        <f t="shared" si="11"/>
        <v>20251267.192624684</v>
      </c>
      <c r="G25" s="33">
        <f>D25*Input_values!$B$5*((1+Input_values!$B$6)^A25)</f>
        <v>20251267.192624684</v>
      </c>
      <c r="H25" s="33">
        <f t="shared" si="13"/>
        <v>2599681.1828715033</v>
      </c>
      <c r="I25" s="34">
        <f t="shared" si="4"/>
        <v>268385112.99903724</v>
      </c>
      <c r="J25" s="34">
        <f t="shared" si="0"/>
        <v>268385112.99903724</v>
      </c>
      <c r="K25" s="25">
        <f t="shared" si="5"/>
        <v>0.88738243439680831</v>
      </c>
      <c r="L25" s="7">
        <f t="shared" si="1"/>
        <v>0</v>
      </c>
      <c r="M25" s="17">
        <f t="shared" si="12"/>
        <v>0.11261756560319169</v>
      </c>
      <c r="N25" s="34">
        <f t="shared" si="2"/>
        <v>34060712.606548518</v>
      </c>
      <c r="O25" s="7">
        <f>N25*(Input_values!$B$7*(1+Input_values!$B$8)^A25)/(Input_values!$B$13*(1+Input_values!$B$14)^A25)</f>
        <v>14444157937.887142</v>
      </c>
      <c r="P25" s="7">
        <f>O25*Input_values!$B$10</f>
        <v>128365231.59400305</v>
      </c>
      <c r="Q25" s="17">
        <f>Input_values!L59+Input_values!N59</f>
        <v>0.52351192181306005</v>
      </c>
      <c r="R25" s="32">
        <f>I25*Input_values!$B$7</f>
        <v>3091916623620.1118</v>
      </c>
      <c r="S25" s="7">
        <f>R25*Input_values!$B$11</f>
        <v>896655820849.8324</v>
      </c>
      <c r="T25" s="7">
        <f t="shared" si="6"/>
        <v>427245808871.86975</v>
      </c>
      <c r="U25" s="7">
        <f>T25*0.00045*model_energy_weight_us_ca!J36</f>
        <v>241670519.571163</v>
      </c>
      <c r="V25" s="7">
        <f>O25*Input_values!$B$18</f>
        <v>19505700.215409216</v>
      </c>
      <c r="W25" s="7">
        <f t="shared" si="7"/>
        <v>389541451.38057524</v>
      </c>
      <c r="X25" s="3">
        <f t="shared" si="8"/>
        <v>0.62039744092613935</v>
      </c>
      <c r="Y25" s="30">
        <f t="shared" si="9"/>
        <v>0.37960255907386065</v>
      </c>
    </row>
    <row r="26" spans="1:25" x14ac:dyDescent="0.3">
      <c r="A26" s="1">
        <f t="shared" si="10"/>
        <v>23</v>
      </c>
      <c r="B26" s="38">
        <f>Input_values!$B$15</f>
        <v>0.05</v>
      </c>
      <c r="C26" s="1">
        <f t="shared" si="3"/>
        <v>2043</v>
      </c>
      <c r="D26" s="7">
        <f>$D$2*(1+Input_values!$B$4)^(A26)</f>
        <v>304865392.2104305</v>
      </c>
      <c r="E26" s="3">
        <v>1</v>
      </c>
      <c r="F26" s="7">
        <f t="shared" si="11"/>
        <v>20515343.716816511</v>
      </c>
      <c r="G26" s="33">
        <f>D26*Input_values!$B$5*((1+Input_values!$B$6)^A26)</f>
        <v>20515343.716816511</v>
      </c>
      <c r="H26" s="33">
        <f t="shared" si="13"/>
        <v>3950371.5382442209</v>
      </c>
      <c r="I26" s="34">
        <f t="shared" si="4"/>
        <v>284950085.1776095</v>
      </c>
      <c r="J26" s="34">
        <f t="shared" si="0"/>
        <v>284950085.1776095</v>
      </c>
      <c r="K26" s="25">
        <f t="shared" si="5"/>
        <v>0.9346750810630724</v>
      </c>
      <c r="L26" s="7">
        <f t="shared" si="1"/>
        <v>0</v>
      </c>
      <c r="M26" s="17">
        <f t="shared" si="12"/>
        <v>6.5324918936927601E-2</v>
      </c>
      <c r="N26" s="34">
        <f t="shared" si="2"/>
        <v>19915307.032821</v>
      </c>
      <c r="O26" s="7">
        <f>N26*(Input_values!$B$7*(1+Input_values!$B$8)^A26)/(Input_values!$B$13*(1+Input_values!$B$14)^A26)</f>
        <v>8375151424.5416012</v>
      </c>
      <c r="P26" s="7">
        <f>O26*Input_values!$B$10</f>
        <v>74429970.709901214</v>
      </c>
      <c r="Q26" s="17">
        <f>Input_values!L60+Input_values!N60</f>
        <v>0.52179441790917702</v>
      </c>
      <c r="R26" s="32">
        <f>I26*Input_values!$B$7</f>
        <v>3282752517147.917</v>
      </c>
      <c r="S26" s="7">
        <f>R26*Input_values!$B$11</f>
        <v>951998229972.89587</v>
      </c>
      <c r="T26" s="7">
        <f t="shared" si="6"/>
        <v>455250867713.62183</v>
      </c>
      <c r="U26" s="7">
        <f>T26*0.00045*model_energy_weight_us_ca!J37</f>
        <v>255890371.51177746</v>
      </c>
      <c r="V26" s="7">
        <f>O26*Input_values!$B$18</f>
        <v>11309983.845943898</v>
      </c>
      <c r="W26" s="7">
        <f t="shared" si="7"/>
        <v>341630326.06762254</v>
      </c>
      <c r="X26" s="3">
        <f t="shared" si="8"/>
        <v>0.7490270973810631</v>
      </c>
      <c r="Y26" s="3">
        <f t="shared" si="9"/>
        <v>0.2509729026189369</v>
      </c>
    </row>
    <row r="27" spans="1:25" x14ac:dyDescent="0.3">
      <c r="A27" s="1">
        <f t="shared" si="10"/>
        <v>24</v>
      </c>
      <c r="B27" s="38">
        <f>Input_values!$B$15</f>
        <v>0.05</v>
      </c>
      <c r="C27" s="1">
        <f t="shared" si="3"/>
        <v>2044</v>
      </c>
      <c r="D27" s="7">
        <f>$D$2*(1+Input_values!$B$4)^(A27)</f>
        <v>307304315.34811395</v>
      </c>
      <c r="E27" s="3">
        <v>1</v>
      </c>
      <c r="F27" s="7">
        <f t="shared" si="11"/>
        <v>20782863.798883803</v>
      </c>
      <c r="G27" s="33">
        <f>D27*Input_values!$B$5*((1+Input_values!$B$6)^A27)</f>
        <v>20782863.798883803</v>
      </c>
      <c r="H27" s="33">
        <f t="shared" si="13"/>
        <v>5502591.0267665219</v>
      </c>
      <c r="I27" s="34">
        <f t="shared" si="4"/>
        <v>300230357.94972676</v>
      </c>
      <c r="J27" s="34">
        <f t="shared" si="0"/>
        <v>300230357.94972676</v>
      </c>
      <c r="K27" s="25">
        <f t="shared" si="5"/>
        <v>0.97698061157919691</v>
      </c>
      <c r="L27" s="7">
        <f t="shared" si="1"/>
        <v>0</v>
      </c>
      <c r="M27" s="17">
        <f t="shared" si="12"/>
        <v>2.3019388420803089E-2</v>
      </c>
      <c r="N27" s="34">
        <f t="shared" si="2"/>
        <v>7073957.3983871937</v>
      </c>
      <c r="O27" s="7">
        <f>N27*(Input_values!$B$7*(1+Input_values!$B$8)^A27)/(Input_values!$B$13*(1+Input_values!$B$14)^A27)</f>
        <v>2950089994.6993294</v>
      </c>
      <c r="P27" s="7">
        <f>O27*Input_values!$B$10</f>
        <v>26217449.782892942</v>
      </c>
      <c r="Q27" s="17">
        <f>Input_values!L61+Input_values!N61</f>
        <v>0.52156307365949317</v>
      </c>
      <c r="R27" s="32">
        <f>I27*Input_values!$B$7</f>
        <v>3458788098516.8755</v>
      </c>
      <c r="S27" s="7">
        <f>R27*Input_values!$B$11</f>
        <v>1003048548569.8938</v>
      </c>
      <c r="T27" s="7">
        <f>S27*(1-Q27)</f>
        <v>479895464548.08655</v>
      </c>
      <c r="U27" s="7">
        <f>T27*0.00045*model_energy_weight_us_ca!J38</f>
        <v>268474865.31690109</v>
      </c>
      <c r="V27" s="7">
        <f>O27*Input_values!$B$18</f>
        <v>3983864.7079693051</v>
      </c>
      <c r="W27" s="7">
        <f t="shared" si="7"/>
        <v>298676179.80776334</v>
      </c>
      <c r="X27" s="3">
        <f t="shared" si="8"/>
        <v>0.8988827481645818</v>
      </c>
      <c r="Y27" s="3">
        <f t="shared" si="9"/>
        <v>0.1011172518354182</v>
      </c>
    </row>
    <row r="28" spans="1:25" x14ac:dyDescent="0.3">
      <c r="A28" s="1">
        <f t="shared" si="10"/>
        <v>25</v>
      </c>
      <c r="B28" s="38">
        <f>Input_values!$B$15</f>
        <v>0.05</v>
      </c>
      <c r="C28" s="1">
        <f t="shared" si="3"/>
        <v>2045</v>
      </c>
      <c r="D28" s="7">
        <f>$D$2*(1+Input_values!$B$4)^(A28)</f>
        <v>309762749.87089884</v>
      </c>
      <c r="E28" s="3">
        <v>1</v>
      </c>
      <c r="F28" s="7">
        <f t="shared" si="11"/>
        <v>21053872.34282124</v>
      </c>
      <c r="G28" s="33">
        <f>D28*Input_values!$B$5*((1+Input_values!$B$6)^A28)</f>
        <v>21053872.34282124</v>
      </c>
      <c r="H28" s="33">
        <f t="shared" si="13"/>
        <v>7094620.6720525287</v>
      </c>
      <c r="I28" s="34">
        <f t="shared" si="4"/>
        <v>309762749.87089884</v>
      </c>
      <c r="J28" s="34">
        <f t="shared" si="0"/>
        <v>309762749.87089884</v>
      </c>
      <c r="K28" s="25">
        <f t="shared" si="5"/>
        <v>1</v>
      </c>
      <c r="L28" s="7">
        <f t="shared" si="1"/>
        <v>0</v>
      </c>
      <c r="M28" s="17">
        <f t="shared" si="12"/>
        <v>0</v>
      </c>
      <c r="N28" s="34">
        <f t="shared" si="2"/>
        <v>0</v>
      </c>
      <c r="O28" s="7">
        <f>N28*(Input_values!$B$7*(1+Input_values!$B$8)^A28)/(Input_values!$B$13*(1+Input_values!$B$14)^A28)</f>
        <v>0</v>
      </c>
      <c r="P28" s="7">
        <f>O28*Input_values!$B$10</f>
        <v>0</v>
      </c>
      <c r="Q28" s="17">
        <f>Input_values!L62+Input_values!N62</f>
        <v>0.52154159557871671</v>
      </c>
      <c r="R28" s="32">
        <f>I28*Input_values!$B$7</f>
        <v>3568605519887.9326</v>
      </c>
      <c r="S28" s="7">
        <f>R28*Input_values!$B$11</f>
        <v>1034895600767.5004</v>
      </c>
      <c r="T28" s="7">
        <f t="shared" si="6"/>
        <v>495154497885.82361</v>
      </c>
      <c r="U28" s="7">
        <f>T28*0.00045*model_energy_weight_us_ca!J39</f>
        <v>275080617.69291413</v>
      </c>
      <c r="V28" s="7">
        <f>O28*Input_values!$B$18</f>
        <v>0</v>
      </c>
      <c r="W28" s="7">
        <f t="shared" si="7"/>
        <v>275080617.69291413</v>
      </c>
      <c r="X28" s="3">
        <f t="shared" si="8"/>
        <v>1</v>
      </c>
      <c r="Y28" s="3">
        <f t="shared" si="9"/>
        <v>0</v>
      </c>
    </row>
    <row r="29" spans="1:25" x14ac:dyDescent="0.3">
      <c r="A29" s="1">
        <f t="shared" si="10"/>
        <v>26</v>
      </c>
      <c r="B29" s="38">
        <f>Input_values!$B$15</f>
        <v>0.05</v>
      </c>
      <c r="C29" s="1">
        <f t="shared" si="3"/>
        <v>2046</v>
      </c>
      <c r="D29" s="7">
        <f>$D$2*(1+Input_values!$B$4)^(A29)</f>
        <v>312240851.86986607</v>
      </c>
      <c r="E29" s="3">
        <v>1</v>
      </c>
      <c r="F29" s="7">
        <f t="shared" si="11"/>
        <v>21328414.838171631</v>
      </c>
      <c r="G29" s="33">
        <f>D29*Input_values!$B$5*((1+Input_values!$B$6)^A29)</f>
        <v>21328414.838171631</v>
      </c>
      <c r="H29" s="33">
        <f t="shared" si="13"/>
        <v>8727234.7811052557</v>
      </c>
      <c r="I29" s="34">
        <f t="shared" si="4"/>
        <v>312240851.86986607</v>
      </c>
      <c r="J29" s="34">
        <f t="shared" si="0"/>
        <v>312240851.86986607</v>
      </c>
      <c r="K29" s="25">
        <f t="shared" si="5"/>
        <v>1</v>
      </c>
      <c r="L29" s="7">
        <f t="shared" si="1"/>
        <v>0</v>
      </c>
      <c r="M29" s="17">
        <f t="shared" si="12"/>
        <v>0</v>
      </c>
      <c r="N29" s="34">
        <f t="shared" si="2"/>
        <v>0</v>
      </c>
      <c r="O29" s="7">
        <f>N29*(Input_values!$B$7*(1+Input_values!$B$8)^A29)/(Input_values!$B$13*(1+Input_values!$B$14)^A29)</f>
        <v>0</v>
      </c>
      <c r="P29" s="7">
        <f>O29*Input_values!$B$10</f>
        <v>0</v>
      </c>
      <c r="Q29" s="17">
        <f>Input_values!L63+Input_values!N63</f>
        <v>0.52439646772857373</v>
      </c>
      <c r="R29" s="32">
        <f>I29*Input_values!$B$7</f>
        <v>3597154364047.0366</v>
      </c>
      <c r="S29" s="7">
        <f>R29*Input_values!$B$11</f>
        <v>1043174765573.6405</v>
      </c>
      <c r="T29" s="7">
        <f t="shared" si="6"/>
        <v>496137603283.24048</v>
      </c>
      <c r="U29" s="7">
        <f>T29*0.00045*model_energy_weight_us_ca!J40</f>
        <v>275005244.55693978</v>
      </c>
      <c r="V29" s="7">
        <f>O29*Input_values!$B$18</f>
        <v>0</v>
      </c>
      <c r="W29" s="7">
        <f t="shared" si="7"/>
        <v>275005244.55693978</v>
      </c>
      <c r="X29" s="3">
        <f t="shared" si="8"/>
        <v>1</v>
      </c>
      <c r="Y29" s="3">
        <f t="shared" si="9"/>
        <v>0</v>
      </c>
    </row>
    <row r="30" spans="1:25" x14ac:dyDescent="0.3">
      <c r="A30" s="1">
        <f t="shared" si="10"/>
        <v>27</v>
      </c>
      <c r="B30" s="38">
        <f>Input_values!$B$15</f>
        <v>0.05</v>
      </c>
      <c r="C30" s="1">
        <f t="shared" si="3"/>
        <v>2047</v>
      </c>
      <c r="D30" s="7">
        <f>$D$2*(1+Input_values!$B$4)^(A30)</f>
        <v>314738778.68482506</v>
      </c>
      <c r="E30" s="3">
        <v>1</v>
      </c>
      <c r="F30" s="7">
        <f t="shared" si="11"/>
        <v>21606537.36766139</v>
      </c>
      <c r="G30" s="33">
        <f>D30*Input_values!$B$5*((1+Input_values!$B$6)^A30)</f>
        <v>21606537.36766139</v>
      </c>
      <c r="H30" s="33">
        <f t="shared" si="13"/>
        <v>17335368.475786015</v>
      </c>
      <c r="I30" s="34">
        <f t="shared" si="4"/>
        <v>314738778.68482506</v>
      </c>
      <c r="J30" s="34">
        <f t="shared" si="0"/>
        <v>314738778.68482506</v>
      </c>
      <c r="K30" s="25">
        <f t="shared" si="5"/>
        <v>1</v>
      </c>
      <c r="L30" s="7">
        <f t="shared" si="1"/>
        <v>0</v>
      </c>
      <c r="M30" s="17">
        <f t="shared" si="12"/>
        <v>0</v>
      </c>
      <c r="N30" s="34">
        <f t="shared" si="2"/>
        <v>0</v>
      </c>
      <c r="O30" s="7">
        <f>N30*(Input_values!$B$7*(1+Input_values!$B$8)^A30)/(Input_values!$B$13*(1+Input_values!$B$14)^A30)</f>
        <v>0</v>
      </c>
      <c r="P30" s="7">
        <f>O30*Input_values!$B$10</f>
        <v>0</v>
      </c>
      <c r="Q30" s="17">
        <f>Input_values!L64+Input_values!N64</f>
        <v>0.52791205545836828</v>
      </c>
      <c r="R30" s="32">
        <f>I30*Input_values!$B$7</f>
        <v>3625931598959.4136</v>
      </c>
      <c r="S30" s="7">
        <f>R30*Input_values!$B$11</f>
        <v>1051520163698.2299</v>
      </c>
      <c r="T30" s="7">
        <f t="shared" si="6"/>
        <v>496409992724.37744</v>
      </c>
      <c r="U30" s="7">
        <f>T30*0.00045*model_energy_weight_us_ca!J41</f>
        <v>274577860.7360093</v>
      </c>
      <c r="V30" s="7">
        <f>O30*Input_values!$B$18</f>
        <v>0</v>
      </c>
      <c r="W30" s="7">
        <f t="shared" si="7"/>
        <v>274577860.7360093</v>
      </c>
      <c r="X30" s="3">
        <f t="shared" si="8"/>
        <v>1</v>
      </c>
      <c r="Y30" s="3">
        <f t="shared" si="9"/>
        <v>0</v>
      </c>
    </row>
    <row r="31" spans="1:25" x14ac:dyDescent="0.3">
      <c r="A31" s="1">
        <f t="shared" si="10"/>
        <v>28</v>
      </c>
      <c r="B31" s="38">
        <f>Input_values!$B$15</f>
        <v>0.05</v>
      </c>
      <c r="C31" s="1">
        <f t="shared" si="3"/>
        <v>2048</v>
      </c>
      <c r="D31" s="7">
        <f>$D$2*(1+Input_values!$B$4)^(A31)</f>
        <v>317256688.91430366</v>
      </c>
      <c r="E31" s="3">
        <v>1</v>
      </c>
      <c r="F31" s="7">
        <f t="shared" si="11"/>
        <v>21888286.614935689</v>
      </c>
      <c r="G31" s="33">
        <f>D31*Input_values!$B$5*((1+Input_values!$B$6)^A31)</f>
        <v>21888286.614935689</v>
      </c>
      <c r="H31" s="33">
        <f t="shared" si="13"/>
        <v>17561421.680710264</v>
      </c>
      <c r="I31" s="34">
        <f t="shared" si="4"/>
        <v>317256688.91430366</v>
      </c>
      <c r="J31" s="34">
        <f t="shared" si="0"/>
        <v>317256688.91430366</v>
      </c>
      <c r="K31" s="25">
        <f t="shared" si="5"/>
        <v>1</v>
      </c>
      <c r="L31" s="7">
        <f t="shared" si="1"/>
        <v>0</v>
      </c>
      <c r="M31" s="17">
        <f t="shared" si="12"/>
        <v>0</v>
      </c>
      <c r="N31" s="34">
        <f t="shared" si="2"/>
        <v>0</v>
      </c>
      <c r="O31" s="7">
        <f>N31*(Input_values!$B$7*(1+Input_values!$B$8)^A31)/(Input_values!$B$13*(1+Input_values!$B$14)^A31)</f>
        <v>0</v>
      </c>
      <c r="P31" s="7">
        <f>O31*Input_values!$B$10</f>
        <v>0</v>
      </c>
      <c r="Q31" s="17">
        <f>Input_values!L65+Input_values!N65</f>
        <v>0.52871631044500045</v>
      </c>
      <c r="R31" s="32">
        <f>I31*Input_values!$B$7</f>
        <v>3654939051751.0889</v>
      </c>
      <c r="S31" s="7">
        <f>R31*Input_values!$B$11</f>
        <v>1059932325007.8157</v>
      </c>
      <c r="T31" s="7">
        <f t="shared" si="6"/>
        <v>499528816808.2923</v>
      </c>
      <c r="U31" s="7">
        <f>T31*0.00045*model_energy_weight_us_ca!J42</f>
        <v>275837427.31062043</v>
      </c>
      <c r="V31" s="7">
        <f>O31*Input_values!$B$18</f>
        <v>0</v>
      </c>
      <c r="W31" s="7">
        <f t="shared" si="7"/>
        <v>275837427.31062043</v>
      </c>
      <c r="X31" s="3">
        <f t="shared" si="8"/>
        <v>1</v>
      </c>
      <c r="Y31" s="3">
        <f t="shared" si="9"/>
        <v>0</v>
      </c>
    </row>
    <row r="32" spans="1:25" x14ac:dyDescent="0.3">
      <c r="A32" s="1">
        <f t="shared" si="10"/>
        <v>29</v>
      </c>
      <c r="B32" s="38">
        <f>Input_values!$B$15</f>
        <v>0.05</v>
      </c>
      <c r="C32" s="1">
        <f t="shared" si="3"/>
        <v>2049</v>
      </c>
      <c r="D32" s="7">
        <f>$D$2*(1+Input_values!$B$4)^(A32)</f>
        <v>319794742.42561805</v>
      </c>
      <c r="E32" s="3">
        <v>1</v>
      </c>
      <c r="F32" s="7">
        <f t="shared" si="11"/>
        <v>22173709.872394443</v>
      </c>
      <c r="G32" s="33">
        <f>D32*Input_values!$B$5*((1+Input_values!$B$6)^A32)</f>
        <v>22173709.872394443</v>
      </c>
      <c r="H32" s="33">
        <f t="shared" si="13"/>
        <v>17790422.61942672</v>
      </c>
      <c r="I32" s="34">
        <f t="shared" si="4"/>
        <v>319794742.42561805</v>
      </c>
      <c r="J32" s="34">
        <f t="shared" si="0"/>
        <v>319794742.42561805</v>
      </c>
      <c r="K32" s="25">
        <f t="shared" si="5"/>
        <v>1</v>
      </c>
      <c r="L32" s="7">
        <f t="shared" si="1"/>
        <v>0</v>
      </c>
      <c r="M32" s="17">
        <f t="shared" si="12"/>
        <v>0</v>
      </c>
      <c r="N32" s="34">
        <f t="shared" si="2"/>
        <v>0</v>
      </c>
      <c r="O32" s="7">
        <f>N32*(Input_values!$B$7*(1+Input_values!$B$8)^A32)/(Input_values!$B$13*(1+Input_values!$B$14)^A32)</f>
        <v>0</v>
      </c>
      <c r="P32" s="7">
        <f>O32*Input_values!$B$10</f>
        <v>0</v>
      </c>
      <c r="Q32" s="17">
        <f>Input_values!L66+Input_values!N66</f>
        <v>0.52950206273940503</v>
      </c>
      <c r="R32" s="32">
        <f>I32*Input_values!$B$7</f>
        <v>3684178564165.0972</v>
      </c>
      <c r="S32" s="7">
        <f>R32*Input_values!$B$11</f>
        <v>1068411783607.8781</v>
      </c>
      <c r="T32" s="7">
        <f t="shared" si="6"/>
        <v>502685540332.4198</v>
      </c>
      <c r="U32" s="7">
        <f>T32*0.00045*model_energy_weight_us_ca!J43</f>
        <v>276999367.12399703</v>
      </c>
      <c r="V32" s="7">
        <f>O32*Input_values!$B$18</f>
        <v>0</v>
      </c>
      <c r="W32" s="7">
        <f t="shared" si="7"/>
        <v>276999367.12399703</v>
      </c>
      <c r="X32" s="3">
        <f t="shared" si="8"/>
        <v>1</v>
      </c>
      <c r="Y32" s="3">
        <f t="shared" si="9"/>
        <v>0</v>
      </c>
    </row>
    <row r="33" spans="1:25" x14ac:dyDescent="0.3">
      <c r="A33" s="1">
        <f t="shared" si="10"/>
        <v>30</v>
      </c>
      <c r="B33" s="38">
        <f>Input_values!$B$15</f>
        <v>0.05</v>
      </c>
      <c r="C33" s="1">
        <f t="shared" si="3"/>
        <v>2050</v>
      </c>
      <c r="D33" s="7">
        <f>$D$2*(1+Input_values!$B$4)^(A33)</f>
        <v>322353100.36502302</v>
      </c>
      <c r="E33" s="3">
        <v>1</v>
      </c>
      <c r="F33" s="7">
        <f t="shared" si="11"/>
        <v>22462855.049130466</v>
      </c>
      <c r="G33" s="33">
        <f>D33*Input_values!$B$5*((1+Input_values!$B$6)^A33)</f>
        <v>22462855.049130466</v>
      </c>
      <c r="H33" s="33">
        <f t="shared" si="13"/>
        <v>18022409.730384041</v>
      </c>
      <c r="I33" s="34">
        <f t="shared" si="4"/>
        <v>322353100.36502302</v>
      </c>
      <c r="J33" s="34">
        <f t="shared" si="0"/>
        <v>322353100.36502302</v>
      </c>
      <c r="K33" s="25">
        <f t="shared" si="5"/>
        <v>1</v>
      </c>
      <c r="L33" s="7">
        <f t="shared" si="1"/>
        <v>0</v>
      </c>
      <c r="M33" s="17">
        <f t="shared" si="12"/>
        <v>0</v>
      </c>
      <c r="N33" s="34">
        <f t="shared" si="2"/>
        <v>0</v>
      </c>
      <c r="O33" s="7">
        <f>N33*(Input_values!$B$7*(1+Input_values!$B$8)^A33)/(Input_values!$B$13*(1+Input_values!$B$14)^A33)</f>
        <v>0</v>
      </c>
      <c r="P33" s="7">
        <f>O33*Input_values!$B$10</f>
        <v>0</v>
      </c>
      <c r="Q33" s="17">
        <f>Input_values!L67+Input_values!N67</f>
        <v>0.52973073007814242</v>
      </c>
      <c r="R33" s="32">
        <f>I33*Input_values!$B$7</f>
        <v>3713651992678.418</v>
      </c>
      <c r="S33" s="7">
        <f>R33*Input_values!$B$11</f>
        <v>1076959077876.7411</v>
      </c>
      <c r="T33" s="7">
        <f t="shared" si="6"/>
        <v>506460759288.81201</v>
      </c>
      <c r="U33" s="7">
        <f>T33*0.00045*model_energy_weight_us_ca!J44</f>
        <v>278042186.17030895</v>
      </c>
      <c r="V33" s="7">
        <f>O33*Input_values!$B$18</f>
        <v>0</v>
      </c>
      <c r="W33" s="7">
        <f t="shared" si="7"/>
        <v>278042186.17030895</v>
      </c>
      <c r="X33" s="3">
        <f t="shared" si="8"/>
        <v>1</v>
      </c>
      <c r="Y33" s="3">
        <f t="shared" si="9"/>
        <v>0</v>
      </c>
    </row>
    <row r="34" spans="1:25" x14ac:dyDescent="0.3">
      <c r="I34" s="24"/>
      <c r="J34" s="24"/>
      <c r="S34" s="23"/>
    </row>
    <row r="35" spans="1:25" ht="18" x14ac:dyDescent="0.35">
      <c r="A35" s="8"/>
      <c r="B35" s="8"/>
      <c r="C35" s="5"/>
      <c r="E35" s="5"/>
      <c r="F35" s="5"/>
      <c r="I35" s="24"/>
      <c r="J35" s="24"/>
      <c r="K35" s="5"/>
      <c r="L35" s="5"/>
      <c r="M35" s="42"/>
      <c r="N35" s="23"/>
      <c r="O35" s="5"/>
      <c r="P35" s="5"/>
      <c r="Q35" s="5"/>
    </row>
    <row r="36" spans="1:25" x14ac:dyDescent="0.3">
      <c r="A36" s="9"/>
      <c r="B36" s="9"/>
      <c r="C36" s="9"/>
      <c r="D36" s="93"/>
      <c r="E36" s="9"/>
      <c r="F36" s="6"/>
      <c r="G36" s="95"/>
      <c r="H36" s="97"/>
      <c r="I36" s="11"/>
      <c r="J36" s="11"/>
      <c r="K36" s="9"/>
      <c r="L36" s="9"/>
      <c r="M36" s="9"/>
      <c r="N36" s="93"/>
      <c r="O36" s="9"/>
      <c r="P36" s="7"/>
      <c r="Q36" s="10"/>
    </row>
    <row r="37" spans="1:25" x14ac:dyDescent="0.3">
      <c r="A37" s="9"/>
      <c r="B37" s="9"/>
      <c r="C37" s="5"/>
      <c r="D37" s="94"/>
      <c r="E37" s="6"/>
      <c r="F37" s="6"/>
      <c r="G37" s="95"/>
      <c r="H37" s="96"/>
      <c r="I37" s="12"/>
      <c r="J37" s="12"/>
      <c r="K37" s="16"/>
      <c r="L37" s="16"/>
      <c r="M37" s="6"/>
      <c r="N37" s="94"/>
      <c r="O37" s="6"/>
      <c r="P37" s="6"/>
      <c r="Q37" s="6"/>
    </row>
    <row r="38" spans="1:25" x14ac:dyDescent="0.3">
      <c r="A38" s="5"/>
      <c r="B38" s="5"/>
      <c r="C38" s="5"/>
      <c r="D38" s="94"/>
      <c r="E38" s="6"/>
      <c r="F38" s="6"/>
      <c r="G38" s="95"/>
      <c r="H38" s="96"/>
      <c r="I38" s="12"/>
      <c r="J38" s="12"/>
      <c r="K38" s="16"/>
      <c r="L38" s="16"/>
      <c r="P38" s="6"/>
      <c r="Q38" s="6"/>
    </row>
    <row r="39" spans="1:25" x14ac:dyDescent="0.3">
      <c r="A39" s="5"/>
      <c r="B39" s="5"/>
      <c r="C39" s="5"/>
      <c r="D39" s="94"/>
      <c r="E39" s="6"/>
      <c r="F39" s="6"/>
      <c r="G39" s="95"/>
      <c r="H39" s="16"/>
      <c r="I39" s="12"/>
      <c r="J39" s="12"/>
      <c r="K39" s="16"/>
      <c r="L39" s="16"/>
      <c r="M39" s="6"/>
      <c r="N39" s="94"/>
      <c r="O39" s="6"/>
      <c r="P39" s="6"/>
      <c r="Q39" s="6"/>
    </row>
    <row r="40" spans="1:25" x14ac:dyDescent="0.3">
      <c r="A40" s="5"/>
      <c r="B40" s="5"/>
      <c r="C40" s="5"/>
      <c r="D40" s="94"/>
      <c r="E40" s="6"/>
      <c r="F40" s="6"/>
      <c r="G40" s="95"/>
      <c r="H40" s="16"/>
      <c r="I40" s="12"/>
      <c r="J40" s="12"/>
      <c r="K40" s="16"/>
      <c r="L40" s="16"/>
      <c r="M40" s="6"/>
      <c r="N40" s="94"/>
      <c r="O40" s="6"/>
      <c r="P40" s="6"/>
      <c r="Q40" s="6"/>
    </row>
    <row r="41" spans="1:25" x14ac:dyDescent="0.3">
      <c r="A41" s="5"/>
      <c r="B41" s="5"/>
      <c r="C41" s="5"/>
      <c r="D41" s="94"/>
      <c r="E41" s="6"/>
      <c r="F41" s="6"/>
      <c r="G41" s="95"/>
      <c r="H41" s="16"/>
      <c r="I41" s="12"/>
      <c r="J41" s="12"/>
      <c r="K41" s="16"/>
      <c r="L41" s="16"/>
      <c r="M41" s="6"/>
      <c r="N41" s="94"/>
      <c r="O41" s="6"/>
      <c r="P41" s="6"/>
      <c r="Q41" s="6"/>
    </row>
    <row r="42" spans="1:25" x14ac:dyDescent="0.3">
      <c r="A42" s="5"/>
      <c r="B42" s="5"/>
      <c r="C42" s="5"/>
      <c r="D42" s="94"/>
      <c r="E42" s="6"/>
      <c r="F42" s="6"/>
      <c r="G42" s="95"/>
      <c r="H42" s="16"/>
      <c r="I42" s="12"/>
      <c r="J42" s="12"/>
      <c r="K42" s="16"/>
      <c r="L42" s="16"/>
      <c r="M42" s="6"/>
      <c r="N42" s="94"/>
      <c r="O42" s="6"/>
      <c r="P42" s="6"/>
      <c r="Q42" s="6"/>
    </row>
    <row r="43" spans="1:25" x14ac:dyDescent="0.3">
      <c r="A43" s="5"/>
      <c r="B43" s="5"/>
      <c r="C43" s="5"/>
      <c r="D43" s="94"/>
      <c r="E43" s="6"/>
      <c r="F43" s="6"/>
      <c r="G43" s="95"/>
      <c r="H43" s="16"/>
      <c r="I43" s="12"/>
      <c r="J43" s="12"/>
      <c r="K43" s="16"/>
      <c r="M43" s="6"/>
      <c r="N43" s="94"/>
      <c r="O43" s="6"/>
      <c r="P43" s="6"/>
      <c r="Q43" s="6"/>
    </row>
    <row r="44" spans="1:25" x14ac:dyDescent="0.3">
      <c r="A44" s="5"/>
      <c r="B44" s="5"/>
      <c r="C44" s="5"/>
      <c r="D44" s="94"/>
      <c r="E44" s="6"/>
      <c r="F44" s="6"/>
      <c r="G44" s="95"/>
      <c r="H44" s="16"/>
      <c r="I44" s="12"/>
      <c r="J44" s="12"/>
      <c r="K44" s="16"/>
      <c r="L44" s="16"/>
      <c r="M44" s="6"/>
      <c r="N44" s="94"/>
      <c r="O44" s="6"/>
      <c r="P44" s="6"/>
      <c r="Q44" s="6"/>
    </row>
    <row r="45" spans="1:25" x14ac:dyDescent="0.3">
      <c r="A45" s="5"/>
      <c r="B45" s="5"/>
      <c r="C45" s="5"/>
      <c r="D45" s="94"/>
      <c r="E45" s="6"/>
      <c r="F45" s="6"/>
      <c r="G45" s="95"/>
      <c r="H45" s="96"/>
      <c r="I45" s="12"/>
      <c r="J45" s="12"/>
      <c r="K45" s="16"/>
      <c r="L45" s="16"/>
      <c r="M45" s="6"/>
      <c r="N45" s="94"/>
      <c r="O45" s="6"/>
      <c r="P45" s="6"/>
      <c r="Q45" s="6"/>
    </row>
    <row r="46" spans="1:25" x14ac:dyDescent="0.3">
      <c r="A46" s="5"/>
      <c r="B46" s="5"/>
      <c r="C46" s="5"/>
      <c r="D46" s="94"/>
      <c r="E46" s="6"/>
      <c r="F46" s="6"/>
      <c r="G46" s="95"/>
      <c r="H46" s="96"/>
      <c r="I46" s="12"/>
      <c r="J46" s="12"/>
      <c r="K46" s="16"/>
      <c r="L46" s="16"/>
      <c r="M46" s="6"/>
      <c r="N46" s="94"/>
      <c r="O46" s="6"/>
      <c r="P46" s="6"/>
      <c r="Q46" s="6"/>
    </row>
    <row r="47" spans="1:25" x14ac:dyDescent="0.3">
      <c r="A47" s="5"/>
      <c r="B47" s="5"/>
      <c r="C47" s="5"/>
      <c r="D47" s="94"/>
      <c r="E47" s="6"/>
      <c r="F47" s="6"/>
      <c r="G47" s="95"/>
      <c r="H47" s="96"/>
      <c r="I47" s="12"/>
      <c r="J47" s="12"/>
      <c r="K47" s="16"/>
      <c r="L47" s="16"/>
      <c r="M47" s="6"/>
      <c r="N47" s="94"/>
      <c r="O47" s="6"/>
      <c r="P47" s="6"/>
      <c r="Q47" s="6"/>
    </row>
    <row r="48" spans="1:25" x14ac:dyDescent="0.3">
      <c r="A48" s="5"/>
      <c r="B48" s="5"/>
      <c r="C48" s="5"/>
      <c r="D48" s="94"/>
      <c r="E48" s="6"/>
      <c r="F48" s="6"/>
      <c r="G48" s="95"/>
      <c r="H48" s="96"/>
      <c r="I48" s="12"/>
      <c r="J48" s="12"/>
      <c r="K48" s="16"/>
      <c r="L48" s="16"/>
      <c r="M48" s="6"/>
      <c r="N48" s="94"/>
      <c r="O48" s="6"/>
      <c r="P48" s="6"/>
      <c r="Q48" s="6"/>
    </row>
    <row r="49" spans="1:17" x14ac:dyDescent="0.3">
      <c r="A49" s="5"/>
      <c r="B49" s="5"/>
      <c r="C49" s="5"/>
      <c r="D49" s="94"/>
      <c r="E49" s="6"/>
      <c r="F49" s="6"/>
      <c r="G49" s="95"/>
      <c r="H49" s="96"/>
      <c r="I49" s="12"/>
      <c r="J49" s="12"/>
      <c r="K49" s="16"/>
      <c r="L49" s="16"/>
      <c r="M49" s="6"/>
      <c r="N49" s="94"/>
      <c r="O49" s="6"/>
      <c r="P49" s="6"/>
      <c r="Q49" s="6"/>
    </row>
    <row r="50" spans="1:17" x14ac:dyDescent="0.3">
      <c r="A50" s="5"/>
      <c r="B50" s="5"/>
      <c r="C50" s="5"/>
      <c r="D50" s="94"/>
      <c r="E50" s="6"/>
      <c r="F50" s="6"/>
      <c r="G50" s="95"/>
      <c r="H50" s="96"/>
      <c r="I50" s="12"/>
      <c r="J50" s="12"/>
      <c r="K50" s="16"/>
      <c r="L50" s="16"/>
      <c r="M50" s="6"/>
      <c r="N50" s="94"/>
      <c r="O50" s="6"/>
      <c r="P50" s="6"/>
      <c r="Q50" s="6"/>
    </row>
    <row r="51" spans="1:17" x14ac:dyDescent="0.3">
      <c r="A51" s="5"/>
      <c r="B51" s="5"/>
      <c r="C51" s="5"/>
      <c r="D51" s="94"/>
      <c r="E51" s="6"/>
      <c r="F51" s="6"/>
      <c r="G51" s="95"/>
      <c r="H51" s="96"/>
      <c r="I51" s="12"/>
      <c r="J51" s="12"/>
      <c r="K51" s="16"/>
      <c r="L51" s="16"/>
      <c r="M51" s="6"/>
      <c r="N51" s="94"/>
      <c r="O51" s="6"/>
      <c r="P51" s="6"/>
      <c r="Q51" s="6"/>
    </row>
    <row r="52" spans="1:17" x14ac:dyDescent="0.3">
      <c r="A52" s="5"/>
      <c r="B52" s="5"/>
      <c r="C52" s="5"/>
      <c r="D52" s="94"/>
      <c r="E52" s="6"/>
      <c r="F52" s="6"/>
      <c r="G52" s="95"/>
      <c r="H52" s="96"/>
      <c r="I52" s="12"/>
      <c r="J52" s="12"/>
      <c r="K52" s="16"/>
      <c r="L52" s="16"/>
      <c r="M52" s="6"/>
      <c r="N52" s="94"/>
      <c r="O52" s="6"/>
      <c r="P52" s="6"/>
      <c r="Q52" s="6"/>
    </row>
    <row r="53" spans="1:17" x14ac:dyDescent="0.3">
      <c r="A53" s="5"/>
      <c r="B53" s="5"/>
      <c r="C53" s="5"/>
      <c r="D53" s="94"/>
      <c r="E53" s="6"/>
      <c r="F53" s="6"/>
      <c r="G53" s="95"/>
      <c r="H53" s="96"/>
      <c r="I53" s="12"/>
      <c r="J53" s="12"/>
      <c r="K53" s="16"/>
      <c r="L53" s="16"/>
      <c r="M53" s="6"/>
      <c r="N53" s="94"/>
      <c r="O53" s="6"/>
      <c r="P53" s="6"/>
      <c r="Q53" s="6"/>
    </row>
    <row r="54" spans="1:17" x14ac:dyDescent="0.3">
      <c r="A54" s="5"/>
      <c r="B54" s="5"/>
      <c r="C54" s="5"/>
      <c r="D54" s="94"/>
      <c r="E54" s="6"/>
      <c r="F54" s="6"/>
      <c r="G54" s="95"/>
      <c r="H54" s="96"/>
      <c r="I54" s="12"/>
      <c r="J54" s="12"/>
      <c r="K54" s="16"/>
      <c r="L54" s="16"/>
      <c r="M54" s="6"/>
      <c r="N54" s="94"/>
      <c r="O54" s="6"/>
      <c r="P54" s="6"/>
      <c r="Q54" s="6"/>
    </row>
    <row r="55" spans="1:17" x14ac:dyDescent="0.3">
      <c r="A55" s="5"/>
      <c r="B55" s="5"/>
      <c r="C55" s="5"/>
      <c r="D55" s="94"/>
      <c r="E55" s="6"/>
      <c r="F55" s="6"/>
      <c r="G55" s="95"/>
      <c r="H55" s="96"/>
      <c r="I55" s="12"/>
      <c r="J55" s="12"/>
      <c r="K55" s="16"/>
      <c r="L55" s="16"/>
      <c r="M55" s="6"/>
      <c r="N55" s="94"/>
      <c r="O55" s="6"/>
      <c r="P55" s="6"/>
      <c r="Q55" s="6"/>
    </row>
    <row r="56" spans="1:17" x14ac:dyDescent="0.3">
      <c r="A56" s="5"/>
      <c r="B56" s="5"/>
      <c r="C56" s="5"/>
      <c r="D56" s="94"/>
      <c r="E56" s="6"/>
      <c r="F56" s="6"/>
      <c r="G56" s="95"/>
      <c r="H56" s="96"/>
      <c r="I56" s="12"/>
      <c r="J56" s="12"/>
      <c r="K56" s="16"/>
      <c r="L56" s="16"/>
      <c r="M56" s="6"/>
      <c r="N56" s="94"/>
      <c r="O56" s="6"/>
      <c r="P56" s="6"/>
      <c r="Q56" s="6"/>
    </row>
    <row r="57" spans="1:17" x14ac:dyDescent="0.3">
      <c r="A57" s="5"/>
      <c r="B57" s="5"/>
      <c r="C57" s="5"/>
      <c r="D57" s="94"/>
      <c r="E57" s="6"/>
      <c r="F57" s="6"/>
      <c r="G57" s="95"/>
      <c r="H57" s="96"/>
      <c r="I57" s="12"/>
      <c r="J57" s="12"/>
      <c r="K57" s="16"/>
      <c r="L57" s="16"/>
      <c r="M57" s="6"/>
      <c r="N57" s="94"/>
      <c r="O57" s="6"/>
      <c r="P57" s="6"/>
      <c r="Q57" s="6"/>
    </row>
    <row r="58" spans="1:17" x14ac:dyDescent="0.3">
      <c r="A58" s="5"/>
      <c r="B58" s="5"/>
      <c r="C58" s="5"/>
      <c r="D58" s="94"/>
      <c r="E58" s="6"/>
      <c r="F58" s="6"/>
      <c r="G58" s="95"/>
      <c r="H58" s="96"/>
      <c r="I58" s="12"/>
      <c r="J58" s="12"/>
      <c r="K58" s="16"/>
      <c r="L58" s="16"/>
      <c r="M58" s="6"/>
      <c r="N58" s="94"/>
      <c r="O58" s="6"/>
      <c r="P58" s="6"/>
      <c r="Q58" s="6"/>
    </row>
    <row r="59" spans="1:17" x14ac:dyDescent="0.3">
      <c r="A59" s="5"/>
      <c r="B59" s="5"/>
      <c r="C59" s="5"/>
      <c r="D59" s="94"/>
      <c r="E59" s="6"/>
      <c r="F59" s="6"/>
      <c r="G59" s="95"/>
      <c r="H59" s="96"/>
      <c r="I59" s="12"/>
      <c r="J59" s="12"/>
      <c r="K59" s="16"/>
      <c r="L59" s="16"/>
      <c r="M59" s="6"/>
      <c r="N59" s="94"/>
      <c r="O59" s="6"/>
      <c r="P59" s="6"/>
      <c r="Q59" s="6"/>
    </row>
    <row r="60" spans="1:17" x14ac:dyDescent="0.3">
      <c r="A60" s="5"/>
      <c r="B60" s="5"/>
      <c r="C60" s="5"/>
      <c r="D60" s="94"/>
      <c r="E60" s="6"/>
      <c r="F60" s="6"/>
      <c r="G60" s="95"/>
      <c r="H60" s="96"/>
      <c r="I60" s="12"/>
      <c r="J60" s="12"/>
      <c r="K60" s="16"/>
      <c r="L60" s="16"/>
      <c r="M60" s="6"/>
      <c r="N60" s="94"/>
      <c r="O60" s="6"/>
      <c r="P60" s="6"/>
      <c r="Q60" s="6"/>
    </row>
    <row r="61" spans="1:17" x14ac:dyDescent="0.3">
      <c r="A61" s="5"/>
      <c r="B61" s="5"/>
      <c r="C61" s="5"/>
      <c r="D61" s="94"/>
      <c r="E61" s="6"/>
      <c r="F61" s="6"/>
      <c r="G61" s="95"/>
      <c r="H61" s="96"/>
      <c r="I61" s="12"/>
      <c r="J61" s="12"/>
      <c r="K61" s="16"/>
      <c r="L61" s="16"/>
      <c r="M61" s="6"/>
      <c r="N61" s="94"/>
      <c r="O61" s="6"/>
      <c r="P61" s="6"/>
      <c r="Q61" s="6"/>
    </row>
    <row r="62" spans="1:17" x14ac:dyDescent="0.3">
      <c r="A62" s="5"/>
      <c r="B62" s="5"/>
      <c r="C62" s="5"/>
      <c r="D62" s="94"/>
      <c r="E62" s="6"/>
      <c r="F62" s="6"/>
      <c r="G62" s="95"/>
      <c r="H62" s="96"/>
      <c r="I62" s="12"/>
      <c r="J62" s="12"/>
      <c r="K62" s="16"/>
      <c r="L62" s="16"/>
      <c r="M62" s="6"/>
      <c r="N62" s="94"/>
      <c r="O62" s="6"/>
      <c r="P62" s="6"/>
      <c r="Q62" s="6"/>
    </row>
    <row r="63" spans="1:17" x14ac:dyDescent="0.3">
      <c r="A63" s="5"/>
      <c r="B63" s="5"/>
      <c r="C63" s="5"/>
      <c r="D63" s="94"/>
      <c r="E63" s="6"/>
      <c r="F63" s="6"/>
      <c r="G63" s="95"/>
      <c r="H63" s="96"/>
      <c r="I63" s="12"/>
      <c r="J63" s="12"/>
      <c r="K63" s="16"/>
      <c r="L63" s="16"/>
      <c r="M63" s="6"/>
      <c r="N63" s="94"/>
      <c r="O63" s="6"/>
      <c r="P63" s="6"/>
      <c r="Q63" s="6"/>
    </row>
    <row r="64" spans="1:17" x14ac:dyDescent="0.3">
      <c r="A64" s="5"/>
      <c r="B64" s="5"/>
      <c r="C64" s="5"/>
      <c r="D64" s="94"/>
      <c r="E64" s="6"/>
      <c r="F64" s="6"/>
      <c r="G64" s="95"/>
      <c r="H64" s="96"/>
      <c r="I64" s="12"/>
      <c r="J64" s="12"/>
      <c r="K64" s="16"/>
      <c r="L64" s="16"/>
      <c r="M64" s="6"/>
      <c r="N64" s="94"/>
      <c r="O64" s="6"/>
      <c r="P64" s="6"/>
      <c r="Q64" s="6"/>
    </row>
    <row r="65" spans="1:17" x14ac:dyDescent="0.3">
      <c r="A65" s="5"/>
      <c r="B65" s="5"/>
      <c r="C65" s="5"/>
      <c r="D65" s="94"/>
      <c r="E65" s="6"/>
      <c r="F65" s="6"/>
      <c r="G65" s="95"/>
      <c r="H65" s="96"/>
      <c r="I65" s="12"/>
      <c r="J65" s="12"/>
      <c r="K65" s="16"/>
      <c r="L65" s="16"/>
      <c r="M65" s="6"/>
      <c r="N65" s="94"/>
      <c r="O65" s="6"/>
      <c r="P65" s="6"/>
      <c r="Q65" s="6"/>
    </row>
    <row r="66" spans="1:17" x14ac:dyDescent="0.3">
      <c r="A66" s="5"/>
      <c r="B66" s="5"/>
      <c r="C66" s="5"/>
      <c r="D66" s="94"/>
      <c r="E66" s="6"/>
      <c r="F66" s="6"/>
      <c r="G66" s="95"/>
      <c r="H66" s="96"/>
      <c r="I66" s="12"/>
      <c r="J66" s="12"/>
      <c r="K66" s="16"/>
      <c r="L66" s="16"/>
      <c r="M66" s="6"/>
      <c r="N66" s="94"/>
      <c r="O66" s="6"/>
      <c r="P66" s="6"/>
      <c r="Q66" s="6"/>
    </row>
    <row r="67" spans="1:17" x14ac:dyDescent="0.3">
      <c r="A67" s="5"/>
      <c r="B67" s="5"/>
      <c r="C67" s="5"/>
      <c r="D67" s="94"/>
      <c r="E67" s="6"/>
      <c r="F67" s="6"/>
      <c r="G67" s="95"/>
      <c r="H67" s="96"/>
      <c r="I67" s="12"/>
      <c r="J67" s="12"/>
      <c r="K67" s="16"/>
      <c r="L67" s="16"/>
      <c r="M67" s="6"/>
      <c r="N67" s="94"/>
      <c r="O67" s="6"/>
      <c r="P67" s="6"/>
      <c r="Q67" s="6"/>
    </row>
    <row r="68" spans="1:17" x14ac:dyDescent="0.3">
      <c r="A68" s="5"/>
      <c r="B68" s="5"/>
      <c r="C68" s="5"/>
      <c r="E68" s="5"/>
      <c r="F68" s="5"/>
      <c r="G68" s="95"/>
      <c r="I68" s="5"/>
      <c r="J68" s="5"/>
      <c r="K68" s="5"/>
      <c r="L68" s="5"/>
      <c r="M68" s="5"/>
      <c r="O68" s="5"/>
      <c r="P68" s="5"/>
      <c r="Q68" s="5"/>
    </row>
    <row r="69" spans="1:17" ht="18" x14ac:dyDescent="0.35">
      <c r="A69" s="8"/>
      <c r="B69" s="8"/>
      <c r="C69" s="5"/>
      <c r="E69" s="5"/>
      <c r="F69" s="5"/>
      <c r="G69" s="95"/>
      <c r="I69" s="5"/>
      <c r="J69" s="5"/>
      <c r="K69" s="5"/>
      <c r="L69" s="5"/>
      <c r="M69" s="5"/>
      <c r="O69" s="5"/>
      <c r="P69" s="5"/>
      <c r="Q69" s="5"/>
    </row>
    <row r="70" spans="1:17" x14ac:dyDescent="0.3">
      <c r="A70" s="9"/>
      <c r="B70" s="9"/>
      <c r="C70" s="9"/>
      <c r="D70" s="93"/>
      <c r="E70" s="9"/>
      <c r="F70" s="9"/>
      <c r="G70" s="95"/>
      <c r="H70" s="97"/>
      <c r="I70" s="11"/>
      <c r="J70" s="11"/>
      <c r="K70" s="9"/>
      <c r="L70" s="9"/>
      <c r="M70" s="9"/>
      <c r="N70" s="93"/>
      <c r="O70" s="9"/>
      <c r="P70" s="10"/>
      <c r="Q70" s="10"/>
    </row>
    <row r="71" spans="1:17" x14ac:dyDescent="0.3">
      <c r="A71" s="9"/>
      <c r="B71" s="9"/>
      <c r="C71" s="5"/>
      <c r="D71" s="94"/>
      <c r="E71" s="6"/>
      <c r="F71" s="12"/>
      <c r="H71" s="96"/>
      <c r="I71" s="12"/>
      <c r="J71" s="12"/>
      <c r="K71" s="16"/>
      <c r="L71" s="16"/>
      <c r="M71" s="6"/>
      <c r="N71" s="94"/>
      <c r="O71" s="6"/>
      <c r="P71" s="6"/>
      <c r="Q71" s="6"/>
    </row>
    <row r="72" spans="1:17" x14ac:dyDescent="0.3">
      <c r="A72" s="5"/>
      <c r="B72" s="5"/>
      <c r="C72" s="5"/>
      <c r="D72" s="94"/>
      <c r="E72" s="6"/>
      <c r="F72" s="6"/>
      <c r="G72" s="96"/>
      <c r="H72" s="96"/>
      <c r="I72" s="12"/>
      <c r="J72" s="12"/>
      <c r="K72" s="16"/>
      <c r="L72" s="16"/>
      <c r="M72" s="6"/>
      <c r="N72" s="94"/>
      <c r="O72" s="6"/>
      <c r="P72" s="6"/>
      <c r="Q72" s="6"/>
    </row>
    <row r="73" spans="1:17" x14ac:dyDescent="0.3">
      <c r="A73" s="5"/>
      <c r="B73" s="5"/>
      <c r="C73" s="5"/>
      <c r="D73" s="94"/>
      <c r="E73" s="6"/>
      <c r="F73" s="6"/>
      <c r="G73" s="96"/>
      <c r="H73" s="96"/>
      <c r="I73" s="12"/>
      <c r="J73" s="12"/>
      <c r="K73" s="16"/>
      <c r="L73" s="16"/>
      <c r="M73" s="6"/>
      <c r="N73" s="94"/>
      <c r="O73" s="6"/>
      <c r="P73" s="6"/>
      <c r="Q73" s="6"/>
    </row>
    <row r="74" spans="1:17" x14ac:dyDescent="0.3">
      <c r="A74" s="5"/>
      <c r="B74" s="5"/>
      <c r="C74" s="5"/>
      <c r="D74" s="94"/>
      <c r="E74" s="6"/>
      <c r="F74" s="6"/>
      <c r="G74" s="96"/>
      <c r="H74" s="96"/>
      <c r="I74" s="12"/>
      <c r="J74" s="12"/>
      <c r="K74" s="16"/>
      <c r="L74" s="16"/>
      <c r="M74" s="6"/>
      <c r="N74" s="94"/>
      <c r="O74" s="6"/>
      <c r="P74" s="6"/>
      <c r="Q74" s="6"/>
    </row>
    <row r="75" spans="1:17" x14ac:dyDescent="0.3">
      <c r="A75" s="5"/>
      <c r="B75" s="5"/>
      <c r="C75" s="5"/>
      <c r="D75" s="94"/>
      <c r="E75" s="6"/>
      <c r="F75" s="6"/>
      <c r="G75" s="96"/>
      <c r="H75" s="96"/>
      <c r="I75" s="12"/>
      <c r="J75" s="12"/>
      <c r="K75" s="16"/>
      <c r="L75" s="16"/>
      <c r="M75" s="6"/>
      <c r="N75" s="94"/>
      <c r="O75" s="6"/>
      <c r="P75" s="6"/>
      <c r="Q75" s="6"/>
    </row>
    <row r="76" spans="1:17" x14ac:dyDescent="0.3">
      <c r="A76" s="5"/>
      <c r="B76" s="5"/>
      <c r="C76" s="5"/>
      <c r="D76" s="94"/>
      <c r="E76" s="6"/>
      <c r="F76" s="6"/>
      <c r="G76" s="96"/>
      <c r="H76" s="96"/>
      <c r="I76" s="12"/>
      <c r="J76" s="12"/>
      <c r="K76" s="16"/>
      <c r="L76" s="16"/>
      <c r="M76" s="6"/>
      <c r="N76" s="94"/>
      <c r="O76" s="6"/>
      <c r="P76" s="6"/>
      <c r="Q76" s="6"/>
    </row>
    <row r="77" spans="1:17" x14ac:dyDescent="0.3">
      <c r="A77" s="5"/>
      <c r="B77" s="5"/>
      <c r="C77" s="5"/>
      <c r="D77" s="94"/>
      <c r="E77" s="6"/>
      <c r="F77" s="6"/>
      <c r="G77" s="96"/>
      <c r="H77" s="96"/>
      <c r="I77" s="12"/>
      <c r="J77" s="12"/>
      <c r="K77" s="16"/>
      <c r="L77" s="16"/>
      <c r="M77" s="6"/>
      <c r="N77" s="94"/>
      <c r="O77" s="6"/>
      <c r="P77" s="6"/>
      <c r="Q77" s="6"/>
    </row>
    <row r="78" spans="1:17" x14ac:dyDescent="0.3">
      <c r="A78" s="5"/>
      <c r="B78" s="5"/>
      <c r="C78" s="5"/>
      <c r="D78" s="94"/>
      <c r="E78" s="6"/>
      <c r="F78" s="6"/>
      <c r="G78" s="96"/>
      <c r="H78" s="96"/>
      <c r="I78" s="12"/>
      <c r="J78" s="12"/>
      <c r="K78" s="16"/>
      <c r="L78" s="16"/>
      <c r="M78" s="6"/>
      <c r="N78" s="94"/>
      <c r="O78" s="6"/>
      <c r="P78" s="6"/>
      <c r="Q78" s="6"/>
    </row>
    <row r="79" spans="1:17" x14ac:dyDescent="0.3">
      <c r="A79" s="5"/>
      <c r="B79" s="5"/>
      <c r="C79" s="5"/>
      <c r="D79" s="94"/>
      <c r="E79" s="6"/>
      <c r="F79" s="6"/>
      <c r="G79" s="96"/>
      <c r="H79" s="96"/>
      <c r="I79" s="12"/>
      <c r="J79" s="12"/>
      <c r="K79" s="16"/>
      <c r="L79" s="16"/>
      <c r="M79" s="6"/>
      <c r="N79" s="94"/>
      <c r="O79" s="6"/>
      <c r="P79" s="6"/>
      <c r="Q79" s="6"/>
    </row>
    <row r="80" spans="1:17" x14ac:dyDescent="0.3">
      <c r="A80" s="5"/>
      <c r="B80" s="5"/>
      <c r="C80" s="5"/>
      <c r="D80" s="94"/>
      <c r="E80" s="6"/>
      <c r="F80" s="6"/>
      <c r="G80" s="96"/>
      <c r="H80" s="96"/>
      <c r="I80" s="12"/>
      <c r="J80" s="12"/>
      <c r="K80" s="16"/>
      <c r="L80" s="16"/>
      <c r="M80" s="6"/>
      <c r="N80" s="94"/>
      <c r="O80" s="6"/>
      <c r="P80" s="6"/>
      <c r="Q80" s="6"/>
    </row>
    <row r="81" spans="1:17" x14ac:dyDescent="0.3">
      <c r="A81" s="5"/>
      <c r="B81" s="5"/>
      <c r="C81" s="5"/>
      <c r="D81" s="94"/>
      <c r="E81" s="6"/>
      <c r="F81" s="6"/>
      <c r="G81" s="96"/>
      <c r="H81" s="96"/>
      <c r="I81" s="12"/>
      <c r="J81" s="12"/>
      <c r="K81" s="16"/>
      <c r="L81" s="16"/>
      <c r="M81" s="6"/>
      <c r="N81" s="94"/>
      <c r="O81" s="6"/>
      <c r="P81" s="6"/>
      <c r="Q81" s="6"/>
    </row>
    <row r="82" spans="1:17" x14ac:dyDescent="0.3">
      <c r="A82" s="5"/>
      <c r="B82" s="5"/>
      <c r="C82" s="5"/>
      <c r="D82" s="94"/>
      <c r="E82" s="6"/>
      <c r="F82" s="6"/>
      <c r="G82" s="96"/>
      <c r="H82" s="96"/>
      <c r="I82" s="12"/>
      <c r="J82" s="12"/>
      <c r="K82" s="16"/>
      <c r="L82" s="16"/>
      <c r="M82" s="6"/>
      <c r="N82" s="94"/>
      <c r="O82" s="6"/>
      <c r="P82" s="6"/>
      <c r="Q82" s="6"/>
    </row>
    <row r="83" spans="1:17" x14ac:dyDescent="0.3">
      <c r="A83" s="5"/>
      <c r="B83" s="5"/>
      <c r="C83" s="5"/>
      <c r="D83" s="94"/>
      <c r="E83" s="6"/>
      <c r="F83" s="6"/>
      <c r="G83" s="96"/>
      <c r="H83" s="96"/>
      <c r="I83" s="12"/>
      <c r="J83" s="12"/>
      <c r="K83" s="16"/>
      <c r="L83" s="16"/>
      <c r="M83" s="6"/>
      <c r="N83" s="94"/>
      <c r="O83" s="6"/>
      <c r="P83" s="6"/>
      <c r="Q83" s="6"/>
    </row>
    <row r="84" spans="1:17" x14ac:dyDescent="0.3">
      <c r="A84" s="5"/>
      <c r="B84" s="5"/>
      <c r="C84" s="5"/>
      <c r="D84" s="94"/>
      <c r="E84" s="6"/>
      <c r="F84" s="6"/>
      <c r="G84" s="96"/>
      <c r="H84" s="96"/>
      <c r="I84" s="12"/>
      <c r="J84" s="12"/>
      <c r="K84" s="16"/>
      <c r="L84" s="16"/>
      <c r="M84" s="6"/>
      <c r="N84" s="94"/>
      <c r="O84" s="6"/>
      <c r="P84" s="6"/>
      <c r="Q84" s="6"/>
    </row>
    <row r="85" spans="1:17" x14ac:dyDescent="0.3">
      <c r="A85" s="5"/>
      <c r="B85" s="5"/>
      <c r="C85" s="5"/>
      <c r="D85" s="94"/>
      <c r="E85" s="6"/>
      <c r="F85" s="6"/>
      <c r="G85" s="96"/>
      <c r="H85" s="96"/>
      <c r="I85" s="12"/>
      <c r="J85" s="12"/>
      <c r="K85" s="16"/>
      <c r="L85" s="16"/>
      <c r="M85" s="6"/>
      <c r="N85" s="94"/>
      <c r="O85" s="6"/>
      <c r="P85" s="6"/>
      <c r="Q85" s="6"/>
    </row>
    <row r="86" spans="1:17" x14ac:dyDescent="0.3">
      <c r="A86" s="5"/>
      <c r="B86" s="5"/>
      <c r="C86" s="5"/>
      <c r="D86" s="94"/>
      <c r="E86" s="6"/>
      <c r="F86" s="6"/>
      <c r="G86" s="96"/>
      <c r="H86" s="96"/>
      <c r="I86" s="12"/>
      <c r="J86" s="12"/>
      <c r="K86" s="16"/>
      <c r="L86" s="16"/>
      <c r="M86" s="6"/>
      <c r="N86" s="94"/>
      <c r="O86" s="6"/>
      <c r="P86" s="6"/>
      <c r="Q86" s="6"/>
    </row>
    <row r="87" spans="1:17" x14ac:dyDescent="0.3">
      <c r="A87" s="5"/>
      <c r="B87" s="5"/>
      <c r="C87" s="5"/>
      <c r="D87" s="94"/>
      <c r="E87" s="6"/>
      <c r="F87" s="6"/>
      <c r="G87" s="96"/>
      <c r="H87" s="96"/>
      <c r="I87" s="12"/>
      <c r="J87" s="12"/>
      <c r="K87" s="16"/>
      <c r="L87" s="16"/>
      <c r="M87" s="6"/>
      <c r="N87" s="94"/>
      <c r="O87" s="6"/>
      <c r="P87" s="6"/>
      <c r="Q87" s="6"/>
    </row>
    <row r="88" spans="1:17" x14ac:dyDescent="0.3">
      <c r="A88" s="5"/>
      <c r="B88" s="5"/>
      <c r="C88" s="5"/>
      <c r="D88" s="94"/>
      <c r="E88" s="6"/>
      <c r="F88" s="6"/>
      <c r="G88" s="96"/>
      <c r="H88" s="96"/>
      <c r="I88" s="12"/>
      <c r="J88" s="12"/>
      <c r="K88" s="16"/>
      <c r="L88" s="16"/>
      <c r="M88" s="6"/>
      <c r="N88" s="94"/>
      <c r="O88" s="6"/>
      <c r="P88" s="6"/>
      <c r="Q88" s="6"/>
    </row>
    <row r="89" spans="1:17" x14ac:dyDescent="0.3">
      <c r="A89" s="5"/>
      <c r="B89" s="5"/>
      <c r="C89" s="5"/>
      <c r="D89" s="94"/>
      <c r="E89" s="6"/>
      <c r="F89" s="6"/>
      <c r="G89" s="96"/>
      <c r="H89" s="96"/>
      <c r="I89" s="12"/>
      <c r="J89" s="12"/>
      <c r="K89" s="16"/>
      <c r="L89" s="16"/>
      <c r="M89" s="6"/>
      <c r="N89" s="94"/>
      <c r="O89" s="6"/>
      <c r="P89" s="6"/>
      <c r="Q89" s="6"/>
    </row>
    <row r="90" spans="1:17" x14ac:dyDescent="0.3">
      <c r="A90" s="5"/>
      <c r="B90" s="5"/>
      <c r="C90" s="5"/>
      <c r="D90" s="94"/>
      <c r="E90" s="6"/>
      <c r="F90" s="6"/>
      <c r="G90" s="96"/>
      <c r="H90" s="96"/>
      <c r="I90" s="12"/>
      <c r="J90" s="12"/>
      <c r="K90" s="16"/>
      <c r="L90" s="16"/>
      <c r="M90" s="6"/>
      <c r="N90" s="94"/>
      <c r="O90" s="6"/>
      <c r="P90" s="6"/>
      <c r="Q90" s="6"/>
    </row>
    <row r="91" spans="1:17" x14ac:dyDescent="0.3">
      <c r="A91" s="5"/>
      <c r="B91" s="5"/>
      <c r="C91" s="5"/>
      <c r="D91" s="94"/>
      <c r="E91" s="6"/>
      <c r="F91" s="6"/>
      <c r="G91" s="96"/>
      <c r="H91" s="96"/>
      <c r="I91" s="12"/>
      <c r="J91" s="12"/>
      <c r="K91" s="16"/>
      <c r="L91" s="16"/>
      <c r="M91" s="6"/>
      <c r="N91" s="94"/>
      <c r="O91" s="6"/>
      <c r="P91" s="6"/>
      <c r="Q91" s="6"/>
    </row>
    <row r="92" spans="1:17" x14ac:dyDescent="0.3">
      <c r="A92" s="5"/>
      <c r="B92" s="5"/>
      <c r="C92" s="5"/>
      <c r="D92" s="94"/>
      <c r="E92" s="6"/>
      <c r="F92" s="6"/>
      <c r="G92" s="96"/>
      <c r="H92" s="96"/>
      <c r="I92" s="12"/>
      <c r="J92" s="12"/>
      <c r="K92" s="16"/>
      <c r="L92" s="16"/>
      <c r="M92" s="6"/>
      <c r="N92" s="94"/>
      <c r="O92" s="6"/>
      <c r="P92" s="6"/>
      <c r="Q92" s="6"/>
    </row>
    <row r="93" spans="1:17" x14ac:dyDescent="0.3">
      <c r="A93" s="5"/>
      <c r="B93" s="5"/>
      <c r="C93" s="5"/>
      <c r="D93" s="94"/>
      <c r="E93" s="6"/>
      <c r="F93" s="6"/>
      <c r="G93" s="96"/>
      <c r="H93" s="96"/>
      <c r="I93" s="12"/>
      <c r="J93" s="12"/>
      <c r="K93" s="16"/>
      <c r="L93" s="16"/>
      <c r="M93" s="6"/>
      <c r="N93" s="94"/>
      <c r="O93" s="6"/>
      <c r="P93" s="6"/>
      <c r="Q93" s="6"/>
    </row>
    <row r="94" spans="1:17" x14ac:dyDescent="0.3">
      <c r="A94" s="5"/>
      <c r="B94" s="5"/>
      <c r="C94" s="5"/>
      <c r="D94" s="94"/>
      <c r="E94" s="6"/>
      <c r="F94" s="6"/>
      <c r="G94" s="96"/>
      <c r="H94" s="96"/>
      <c r="I94" s="12"/>
      <c r="J94" s="12"/>
      <c r="K94" s="16"/>
      <c r="L94" s="16"/>
      <c r="M94" s="6"/>
      <c r="N94" s="94"/>
      <c r="O94" s="6"/>
      <c r="P94" s="6"/>
      <c r="Q94" s="6"/>
    </row>
    <row r="95" spans="1:17" x14ac:dyDescent="0.3">
      <c r="A95" s="5"/>
      <c r="B95" s="5"/>
      <c r="C95" s="5"/>
      <c r="D95" s="94"/>
      <c r="E95" s="6"/>
      <c r="F95" s="6"/>
      <c r="G95" s="96"/>
      <c r="H95" s="96"/>
      <c r="I95" s="12"/>
      <c r="J95" s="12"/>
      <c r="K95" s="16"/>
      <c r="L95" s="16"/>
      <c r="M95" s="6"/>
      <c r="N95" s="94"/>
      <c r="O95" s="6"/>
      <c r="P95" s="6"/>
      <c r="Q95" s="6"/>
    </row>
    <row r="96" spans="1:17" x14ac:dyDescent="0.3">
      <c r="A96" s="5"/>
      <c r="B96" s="5"/>
      <c r="C96" s="5"/>
      <c r="D96" s="94"/>
      <c r="E96" s="6"/>
      <c r="F96" s="6"/>
      <c r="G96" s="96"/>
      <c r="H96" s="96"/>
      <c r="I96" s="12"/>
      <c r="J96" s="12"/>
      <c r="K96" s="16"/>
      <c r="L96" s="16"/>
      <c r="M96" s="6"/>
      <c r="N96" s="94"/>
      <c r="O96" s="6"/>
      <c r="P96" s="6"/>
      <c r="Q96" s="6"/>
    </row>
    <row r="97" spans="1:17" x14ac:dyDescent="0.3">
      <c r="A97" s="5"/>
      <c r="B97" s="5"/>
      <c r="C97" s="5"/>
      <c r="D97" s="94"/>
      <c r="E97" s="6"/>
      <c r="F97" s="6"/>
      <c r="G97" s="96"/>
      <c r="H97" s="96"/>
      <c r="I97" s="12"/>
      <c r="J97" s="12"/>
      <c r="K97" s="16"/>
      <c r="L97" s="16"/>
      <c r="M97" s="6"/>
      <c r="N97" s="94"/>
      <c r="O97" s="6"/>
      <c r="P97" s="6"/>
      <c r="Q97" s="6"/>
    </row>
    <row r="98" spans="1:17" x14ac:dyDescent="0.3">
      <c r="A98" s="5"/>
      <c r="B98" s="5"/>
      <c r="C98" s="5"/>
      <c r="D98" s="94"/>
      <c r="E98" s="6"/>
      <c r="F98" s="6"/>
      <c r="G98" s="96"/>
      <c r="H98" s="96"/>
      <c r="I98" s="12"/>
      <c r="J98" s="12"/>
      <c r="K98" s="16"/>
      <c r="L98" s="16"/>
      <c r="M98" s="6"/>
      <c r="N98" s="94"/>
      <c r="O98" s="6"/>
      <c r="P98" s="6"/>
      <c r="Q98" s="6"/>
    </row>
    <row r="99" spans="1:17" x14ac:dyDescent="0.3">
      <c r="A99" s="5"/>
      <c r="B99" s="5"/>
      <c r="C99" s="5"/>
      <c r="D99" s="94"/>
      <c r="E99" s="6"/>
      <c r="F99" s="6"/>
      <c r="G99" s="96"/>
      <c r="H99" s="96"/>
      <c r="I99" s="12"/>
      <c r="J99" s="12"/>
      <c r="K99" s="16"/>
      <c r="L99" s="16"/>
      <c r="M99" s="6"/>
      <c r="N99" s="94"/>
      <c r="O99" s="6"/>
      <c r="P99" s="6"/>
      <c r="Q99" s="6"/>
    </row>
    <row r="100" spans="1:17" x14ac:dyDescent="0.3">
      <c r="A100" s="5"/>
      <c r="B100" s="5"/>
      <c r="C100" s="5"/>
      <c r="D100" s="94"/>
      <c r="E100" s="6"/>
      <c r="F100" s="6"/>
      <c r="G100" s="96"/>
      <c r="H100" s="96"/>
      <c r="I100" s="12"/>
      <c r="J100" s="12"/>
      <c r="K100" s="16"/>
      <c r="L100" s="16"/>
      <c r="M100" s="6"/>
      <c r="N100" s="94"/>
      <c r="O100" s="6"/>
      <c r="P100" s="6"/>
      <c r="Q100" s="6"/>
    </row>
    <row r="101" spans="1:17" x14ac:dyDescent="0.3">
      <c r="A101" s="5"/>
      <c r="B101" s="5"/>
      <c r="C101" s="5"/>
      <c r="D101" s="94"/>
      <c r="E101" s="6"/>
      <c r="F101" s="6"/>
      <c r="G101" s="96"/>
      <c r="H101" s="96"/>
      <c r="I101" s="12"/>
      <c r="J101" s="12"/>
      <c r="K101" s="16"/>
      <c r="L101" s="16"/>
      <c r="M101" s="6"/>
      <c r="N101" s="94"/>
      <c r="O101" s="6"/>
      <c r="P101" s="6"/>
      <c r="Q101" s="6"/>
    </row>
    <row r="102" spans="1:17" x14ac:dyDescent="0.3">
      <c r="A102" s="5"/>
      <c r="B102" s="5"/>
      <c r="C102" s="5"/>
      <c r="E102" s="5"/>
      <c r="F102" s="5"/>
      <c r="I102" s="5"/>
      <c r="J102" s="5"/>
      <c r="K102" s="5"/>
      <c r="L102" s="5"/>
      <c r="M102" s="5"/>
      <c r="O102" s="5"/>
      <c r="P102" s="5"/>
      <c r="Q102" s="5"/>
    </row>
    <row r="103" spans="1:17" x14ac:dyDescent="0.3">
      <c r="A103" s="5"/>
      <c r="B103" s="5"/>
      <c r="C103" s="5"/>
      <c r="E103" s="5"/>
      <c r="F103" s="5"/>
      <c r="I103" s="5"/>
      <c r="J103" s="5"/>
      <c r="K103" s="5"/>
      <c r="L103" s="5"/>
      <c r="M103" s="5"/>
      <c r="O103" s="5"/>
      <c r="P103" s="5"/>
      <c r="Q103" s="5"/>
    </row>
    <row r="104" spans="1:17" x14ac:dyDescent="0.3">
      <c r="A104" s="5"/>
      <c r="B104" s="5"/>
      <c r="C104" s="5"/>
      <c r="E104" s="5"/>
      <c r="F104" s="5"/>
      <c r="I104" s="5"/>
      <c r="J104" s="5"/>
      <c r="K104" s="5"/>
      <c r="L104" s="5"/>
      <c r="M104" s="5"/>
      <c r="O104" s="5"/>
      <c r="P104" s="5"/>
      <c r="Q104" s="5"/>
    </row>
    <row r="105" spans="1:17" x14ac:dyDescent="0.3">
      <c r="A105" s="5"/>
      <c r="B105" s="5"/>
      <c r="C105" s="5"/>
      <c r="E105" s="5"/>
      <c r="F105" s="5"/>
      <c r="I105" s="5"/>
      <c r="J105" s="5"/>
      <c r="K105" s="5"/>
      <c r="L105" s="5"/>
      <c r="M105" s="5"/>
      <c r="O105" s="5"/>
      <c r="P105" s="5"/>
      <c r="Q105"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DC8D-1DE0-4982-B2B7-4F91F44ED362}">
  <dimension ref="A1:Y105"/>
  <sheetViews>
    <sheetView zoomScale="70" zoomScaleNormal="70" workbookViewId="0">
      <selection activeCell="J11" sqref="J11"/>
    </sheetView>
  </sheetViews>
  <sheetFormatPr defaultRowHeight="14.4" x14ac:dyDescent="0.3"/>
  <cols>
    <col min="1" max="1" width="9.77734375" bestFit="1" customWidth="1"/>
    <col min="2" max="2" width="9.77734375" customWidth="1"/>
    <col min="4" max="5" width="18.44140625" customWidth="1"/>
    <col min="6" max="6" width="23" customWidth="1"/>
    <col min="7" max="8" width="13.44140625" customWidth="1"/>
    <col min="9" max="10" width="18.33203125" customWidth="1"/>
    <col min="11" max="11" width="16.6640625" bestFit="1" customWidth="1"/>
    <col min="12" max="12" width="16.6640625" customWidth="1"/>
    <col min="13" max="13" width="18.21875" bestFit="1" customWidth="1"/>
    <col min="14" max="15" width="18.21875" customWidth="1"/>
    <col min="16" max="17" width="21.77734375" customWidth="1"/>
    <col min="18" max="18" width="18.88671875" bestFit="1" customWidth="1"/>
    <col min="19" max="19" width="20.109375" bestFit="1" customWidth="1"/>
    <col min="20" max="20" width="20.77734375" bestFit="1" customWidth="1"/>
    <col min="21" max="21" width="17.44140625" bestFit="1" customWidth="1"/>
    <col min="22" max="22" width="17.44140625" customWidth="1"/>
    <col min="23" max="23" width="15" bestFit="1" customWidth="1"/>
  </cols>
  <sheetData>
    <row r="1" spans="1:25" s="39" customFormat="1" ht="93.6" x14ac:dyDescent="0.3">
      <c r="A1" s="35" t="s">
        <v>0</v>
      </c>
      <c r="B1" s="35" t="s">
        <v>7</v>
      </c>
      <c r="C1" s="35" t="s">
        <v>1</v>
      </c>
      <c r="D1" s="35" t="s">
        <v>2</v>
      </c>
      <c r="E1" s="35" t="s">
        <v>30</v>
      </c>
      <c r="F1" s="35" t="s">
        <v>6</v>
      </c>
      <c r="G1" s="35" t="s">
        <v>26</v>
      </c>
      <c r="H1" s="35" t="s">
        <v>91</v>
      </c>
      <c r="I1" s="35" t="s">
        <v>8</v>
      </c>
      <c r="J1" s="35" t="s">
        <v>102</v>
      </c>
      <c r="K1" s="35" t="s">
        <v>27</v>
      </c>
      <c r="L1" s="35" t="s">
        <v>13</v>
      </c>
      <c r="M1" s="35" t="s">
        <v>15</v>
      </c>
      <c r="N1" s="35" t="s">
        <v>14</v>
      </c>
      <c r="O1" s="36" t="s">
        <v>3</v>
      </c>
      <c r="P1" s="36" t="s">
        <v>9</v>
      </c>
      <c r="Q1" s="36" t="s">
        <v>125</v>
      </c>
      <c r="R1" s="36" t="s">
        <v>16</v>
      </c>
      <c r="S1" s="36" t="s">
        <v>10</v>
      </c>
      <c r="T1" s="36" t="s">
        <v>11</v>
      </c>
      <c r="U1" s="36" t="s">
        <v>17</v>
      </c>
      <c r="V1" s="36" t="s">
        <v>130</v>
      </c>
      <c r="W1" s="36" t="s">
        <v>28</v>
      </c>
      <c r="X1" s="36" t="s">
        <v>18</v>
      </c>
      <c r="Y1" s="36" t="s">
        <v>19</v>
      </c>
    </row>
    <row r="2" spans="1:25" s="39" customFormat="1" ht="15.6" x14ac:dyDescent="0.3">
      <c r="A2" s="35"/>
      <c r="B2" s="35"/>
      <c r="C2" s="35"/>
      <c r="D2" s="92">
        <f>Input_values!B3</f>
        <v>253814184</v>
      </c>
      <c r="E2" s="35"/>
      <c r="F2" s="35"/>
      <c r="G2" s="35"/>
      <c r="H2" s="35"/>
      <c r="I2" s="35"/>
      <c r="J2" s="35"/>
      <c r="K2" s="35"/>
      <c r="L2" s="35"/>
      <c r="M2" s="35"/>
      <c r="N2" s="35"/>
      <c r="O2" s="36"/>
      <c r="P2" s="36"/>
      <c r="Q2" s="36"/>
      <c r="R2" s="36"/>
      <c r="S2" s="36"/>
      <c r="T2" s="36"/>
      <c r="U2" s="36"/>
      <c r="V2" s="36"/>
      <c r="W2" s="36"/>
      <c r="X2" s="36"/>
      <c r="Y2" s="36"/>
    </row>
    <row r="3" spans="1:25" x14ac:dyDescent="0.3">
      <c r="A3" s="2">
        <v>0</v>
      </c>
      <c r="B3" s="2">
        <v>0</v>
      </c>
      <c r="C3" s="1">
        <v>2020</v>
      </c>
      <c r="D3" s="7">
        <f>$D$2*(1+Input_values!$B$4)^(A3)</f>
        <v>253814184</v>
      </c>
      <c r="E3" s="3">
        <f>F3/G3</f>
        <v>2.1538066078555591E-2</v>
      </c>
      <c r="F3" s="33">
        <f>Input_values!$B$2</f>
        <v>328000</v>
      </c>
      <c r="G3" s="33">
        <f>D3*Input_values!$B$5*((1+Input_values!$B$6)^A3)</f>
        <v>15228851.039999999</v>
      </c>
      <c r="H3" s="33">
        <v>0</v>
      </c>
      <c r="I3" s="34">
        <f>Input_values!$B$12</f>
        <v>1019260</v>
      </c>
      <c r="J3" s="34">
        <f t="shared" ref="J3:J33" si="0">IF(AND(E3&gt;I3, H3&gt;G3),E3,I3)</f>
        <v>1019260</v>
      </c>
      <c r="K3" s="25">
        <f>I3/D2</f>
        <v>4.0157724203466897E-3</v>
      </c>
      <c r="L3" s="7">
        <f t="shared" ref="L3:L33" si="1">(1-E3)*G3</f>
        <v>14900851.039999999</v>
      </c>
      <c r="M3" s="17">
        <f>1-K3</f>
        <v>0.99598422757965333</v>
      </c>
      <c r="N3" s="34">
        <f t="shared" ref="N3:N33" si="2">D3-I3</f>
        <v>252794924</v>
      </c>
      <c r="O3" s="7">
        <f>N3*(Input_values!$B$7*(1+Input_values!$B$8)^A3)/(Input_values!$B$13*(1+Input_values!$B$14)^A3)</f>
        <v>128863303920.66231</v>
      </c>
      <c r="P3" s="7">
        <f>O3*Input_values!$B$10</f>
        <v>1145208181.9429259</v>
      </c>
      <c r="Q3" s="17">
        <f>Input_values!L37+Input_values!N37</f>
        <v>0.39594273119481199</v>
      </c>
      <c r="R3" s="32">
        <f>I3*Input_values!$B$7</f>
        <v>11742331393.031998</v>
      </c>
      <c r="S3" s="7">
        <f>R3*Input_values!$B$11</f>
        <v>3405276103.979279</v>
      </c>
      <c r="T3" s="7">
        <f>S3*(1-Q3)</f>
        <v>2056981782.8972945</v>
      </c>
      <c r="U3" s="7">
        <f>T3*0.00045*model_energy_weight_us_ca!J14</f>
        <v>1238424.5155587504</v>
      </c>
      <c r="V3" s="7">
        <f>O3*Input_values!$B$18</f>
        <v>174019765.35097933</v>
      </c>
      <c r="W3" s="7">
        <f>U3+P3+V3</f>
        <v>1320466371.809464</v>
      </c>
      <c r="X3" s="3">
        <f>U3/W3</f>
        <v>9.3786903021370407E-4</v>
      </c>
      <c r="Y3" s="3">
        <f>1-X3</f>
        <v>0.99906213096978624</v>
      </c>
    </row>
    <row r="4" spans="1:25" x14ac:dyDescent="0.3">
      <c r="A4" s="1">
        <v>1</v>
      </c>
      <c r="B4" s="2">
        <v>0</v>
      </c>
      <c r="C4" s="1">
        <f t="shared" ref="C4:C33" si="3">C3+1</f>
        <v>2021</v>
      </c>
      <c r="D4" s="7">
        <f>$D$2*(1+Input_values!$B$4)^(A4)</f>
        <v>255844697.472</v>
      </c>
      <c r="E4" s="3">
        <v>0.04</v>
      </c>
      <c r="F4" s="7">
        <f>E4*G4</f>
        <v>617097.41030246392</v>
      </c>
      <c r="G4" s="33">
        <f>D4*Input_values!$B$5*((1+Input_values!$B$6)^A4)</f>
        <v>15427435.257561598</v>
      </c>
      <c r="H4" s="33">
        <v>0</v>
      </c>
      <c r="I4" s="34">
        <f t="shared" ref="I4:I33" si="4">IF(F4+I3-H4&gt;D4,D4,F4+I3-H4)</f>
        <v>1636357.4103024639</v>
      </c>
      <c r="J4" s="34">
        <f t="shared" si="0"/>
        <v>1636357.4103024639</v>
      </c>
      <c r="K4" s="25">
        <f t="shared" ref="K4:K33" si="5">I4/D4</f>
        <v>6.3959012106613979E-3</v>
      </c>
      <c r="L4" s="7">
        <f t="shared" si="1"/>
        <v>14810337.847259134</v>
      </c>
      <c r="M4" s="17">
        <f>1-K4</f>
        <v>0.99360409878933864</v>
      </c>
      <c r="N4" s="34">
        <f t="shared" si="2"/>
        <v>254208340.06169754</v>
      </c>
      <c r="O4" s="7">
        <f>N4*(Input_values!$B$7*(1+Input_values!$B$8)^A4)/(Input_values!$B$13*(1+Input_values!$B$14)^A4)</f>
        <v>128504362217.73738</v>
      </c>
      <c r="P4" s="7">
        <f>O4*Input_values!$B$10</f>
        <v>1142018267.0290322</v>
      </c>
      <c r="Q4" s="17">
        <f>Input_values!L38+Input_values!N38</f>
        <v>0.45763454960782129</v>
      </c>
      <c r="R4" s="32">
        <f>I4*Input_values!$B$7</f>
        <v>18851569755.719997</v>
      </c>
      <c r="S4" s="7">
        <f>R4*Input_values!$B$11</f>
        <v>5466955229.1587992</v>
      </c>
      <c r="T4" s="7">
        <f t="shared" ref="T4:T33" si="6">S4*(1-Q4)</f>
        <v>2965087635.1365886</v>
      </c>
      <c r="U4" s="7">
        <f>T4*0.00045*model_energy_weight_us_ca!J15</f>
        <v>1914453.3562906606</v>
      </c>
      <c r="V4" s="7">
        <f>O4*Input_values!$B$18</f>
        <v>173535042.78825399</v>
      </c>
      <c r="W4" s="7">
        <f t="shared" ref="W4:W33" si="7">U4+P4+V4</f>
        <v>1317467763.1735768</v>
      </c>
      <c r="X4" s="3">
        <f t="shared" ref="X4:X33" si="8">U4/W4</f>
        <v>1.4531310820684049E-3</v>
      </c>
      <c r="Y4" s="3">
        <f t="shared" ref="Y4:Y33" si="9">1-X4</f>
        <v>0.99854686891793154</v>
      </c>
    </row>
    <row r="5" spans="1:25" x14ac:dyDescent="0.3">
      <c r="A5" s="1">
        <f t="shared" ref="A5:A33" si="10">A4+1</f>
        <v>2</v>
      </c>
      <c r="B5" s="2">
        <v>0</v>
      </c>
      <c r="C5" s="1">
        <f t="shared" si="3"/>
        <v>2022</v>
      </c>
      <c r="D5" s="7">
        <f>$D$2*(1+Input_values!$B$4)^(A5)</f>
        <v>257891455.05177602</v>
      </c>
      <c r="E5" s="3">
        <v>0.05</v>
      </c>
      <c r="F5" s="7">
        <f t="shared" ref="F5:F33" si="11">E5*G5</f>
        <v>781430.45066601003</v>
      </c>
      <c r="G5" s="33">
        <f>D5*Input_values!$B$5*((1+Input_values!$B$6)^A5)</f>
        <v>15628609.0133202</v>
      </c>
      <c r="H5" s="33">
        <v>0</v>
      </c>
      <c r="I5" s="34">
        <f t="shared" si="4"/>
        <v>2417787.8609684738</v>
      </c>
      <c r="J5" s="34">
        <f t="shared" si="0"/>
        <v>2417787.8609684738</v>
      </c>
      <c r="K5" s="25">
        <f t="shared" si="5"/>
        <v>9.3752150899418622E-3</v>
      </c>
      <c r="L5" s="7">
        <f t="shared" si="1"/>
        <v>14847178.56265419</v>
      </c>
      <c r="M5" s="17">
        <f t="shared" ref="M5:M33" si="12">1-K5</f>
        <v>0.99062478491005812</v>
      </c>
      <c r="N5" s="34">
        <f t="shared" si="2"/>
        <v>255473667.19080755</v>
      </c>
      <c r="O5" s="7">
        <f>N5*(Input_values!$B$7*(1+Input_values!$B$8)^A5)/(Input_values!$B$13*(1+Input_values!$B$14)^A5)</f>
        <v>128068222200.59926</v>
      </c>
      <c r="P5" s="7">
        <f>O5*Input_values!$B$10</f>
        <v>1138142290.6967256</v>
      </c>
      <c r="Q5" s="17">
        <f>Input_values!L39+Input_values!N39</f>
        <v>0.4736762396692461</v>
      </c>
      <c r="R5" s="32">
        <f>I5*Input_values!$B$7</f>
        <v>27853998294.391808</v>
      </c>
      <c r="S5" s="7">
        <f>R5*Input_values!$B$11</f>
        <v>8077659505.3736238</v>
      </c>
      <c r="T5" s="7">
        <f t="shared" si="6"/>
        <v>4251464125.5397034</v>
      </c>
      <c r="U5" s="7">
        <f>T5*0.00045*model_energy_weight_us_ca!J16</f>
        <v>2774549.9811044135</v>
      </c>
      <c r="V5" s="7">
        <f>O5*Input_values!$B$18</f>
        <v>172946069.96873608</v>
      </c>
      <c r="W5" s="7">
        <f t="shared" si="7"/>
        <v>1313862910.6465662</v>
      </c>
      <c r="X5" s="3">
        <f t="shared" si="8"/>
        <v>2.1117499844325672E-3</v>
      </c>
      <c r="Y5" s="3">
        <f t="shared" si="9"/>
        <v>0.99788825001556747</v>
      </c>
    </row>
    <row r="6" spans="1:25" x14ac:dyDescent="0.3">
      <c r="A6" s="1">
        <f t="shared" si="10"/>
        <v>3</v>
      </c>
      <c r="B6" s="2">
        <v>0</v>
      </c>
      <c r="C6" s="1">
        <f t="shared" si="3"/>
        <v>2023</v>
      </c>
      <c r="D6" s="7">
        <f>$D$2*(1+Input_values!$B$4)^(A6)</f>
        <v>259954586.69219026</v>
      </c>
      <c r="E6" s="3">
        <v>0.06</v>
      </c>
      <c r="F6" s="7">
        <f t="shared" si="11"/>
        <v>949944.36449123383</v>
      </c>
      <c r="G6" s="33">
        <f>D6*Input_values!$B$5*((1+Input_values!$B$6)^A6)</f>
        <v>15832406.074853897</v>
      </c>
      <c r="H6" s="33">
        <v>0</v>
      </c>
      <c r="I6" s="34">
        <f t="shared" si="4"/>
        <v>3367732.2254597079</v>
      </c>
      <c r="J6" s="34">
        <f t="shared" si="0"/>
        <v>3367732.2254597079</v>
      </c>
      <c r="K6" s="25">
        <f t="shared" si="5"/>
        <v>1.2955079070974068E-2</v>
      </c>
      <c r="L6" s="7">
        <f t="shared" si="1"/>
        <v>14882461.710362662</v>
      </c>
      <c r="M6" s="17">
        <f t="shared" si="12"/>
        <v>0.98704492092902596</v>
      </c>
      <c r="N6" s="34">
        <f t="shared" si="2"/>
        <v>256586854.46673056</v>
      </c>
      <c r="O6" s="7">
        <f>N6*(Input_values!$B$7*(1+Input_values!$B$8)^A6)/(Input_values!$B$13*(1+Input_values!$B$14)^A6)</f>
        <v>127554799497.74103</v>
      </c>
      <c r="P6" s="7">
        <f>O6*Input_values!$B$10</f>
        <v>1133579503.1364245</v>
      </c>
      <c r="Q6" s="17">
        <f>Input_values!L40+Input_values!N40</f>
        <v>0.46268504053921089</v>
      </c>
      <c r="R6" s="32">
        <f>I6*Input_values!$B$7</f>
        <v>38797782542.571121</v>
      </c>
      <c r="S6" s="7">
        <f>R6*Input_values!$B$11</f>
        <v>11251356937.345625</v>
      </c>
      <c r="T6" s="7">
        <f t="shared" si="6"/>
        <v>6045522396.6687326</v>
      </c>
      <c r="U6" s="7">
        <f>T6*0.00045*model_energy_weight_us_ca!J17</f>
        <v>3802211.9216482011</v>
      </c>
      <c r="V6" s="7">
        <f>O6*Input_values!$B$18</f>
        <v>172252732.95533571</v>
      </c>
      <c r="W6" s="7">
        <f t="shared" si="7"/>
        <v>1309634448.0134084</v>
      </c>
      <c r="X6" s="3">
        <f t="shared" si="8"/>
        <v>2.9032619960598907E-3</v>
      </c>
      <c r="Y6" s="3">
        <f t="shared" si="9"/>
        <v>0.99709673800394016</v>
      </c>
    </row>
    <row r="7" spans="1:25" x14ac:dyDescent="0.3">
      <c r="A7" s="1">
        <f t="shared" si="10"/>
        <v>4</v>
      </c>
      <c r="B7" s="2">
        <v>0</v>
      </c>
      <c r="C7" s="1">
        <f t="shared" si="3"/>
        <v>2024</v>
      </c>
      <c r="D7" s="7">
        <f>$D$2*(1+Input_values!$B$4)^(A7)</f>
        <v>262034223.38572779</v>
      </c>
      <c r="E7" s="3">
        <v>7.4999999999999997E-2</v>
      </c>
      <c r="F7" s="7">
        <f t="shared" si="11"/>
        <v>1202914.5487552488</v>
      </c>
      <c r="G7" s="33">
        <f>D7*Input_values!$B$5*((1+Input_values!$B$6)^A7)</f>
        <v>16038860.650069986</v>
      </c>
      <c r="H7" s="33">
        <v>0</v>
      </c>
      <c r="I7" s="34">
        <f t="shared" si="4"/>
        <v>4570646.7742149569</v>
      </c>
      <c r="J7" s="34">
        <f t="shared" si="0"/>
        <v>4570646.7742149569</v>
      </c>
      <c r="K7" s="25">
        <f t="shared" si="5"/>
        <v>1.744293823592169E-2</v>
      </c>
      <c r="L7" s="7">
        <f t="shared" si="1"/>
        <v>14835946.101314737</v>
      </c>
      <c r="M7" s="17">
        <f>1-K7</f>
        <v>0.98255706176407831</v>
      </c>
      <c r="N7" s="34">
        <f t="shared" si="2"/>
        <v>257463576.61151284</v>
      </c>
      <c r="O7" s="7">
        <f>N7*(Input_values!$B$7*(1+Input_values!$B$8)^A7)/(Input_values!$B$13*(1+Input_values!$B$14)^A7)</f>
        <v>126924471222.04189</v>
      </c>
      <c r="P7" s="7">
        <f>O7*Input_values!$B$10</f>
        <v>1127977775.7502863</v>
      </c>
      <c r="Q7" s="17">
        <f>Input_values!L41+Input_values!N41</f>
        <v>0.47058157909899778</v>
      </c>
      <c r="R7" s="32">
        <f>I7*Input_values!$B$7</f>
        <v>52655896536.040581</v>
      </c>
      <c r="S7" s="7">
        <f>R7*Input_values!$B$11</f>
        <v>15270209995.451767</v>
      </c>
      <c r="T7" s="7">
        <f t="shared" si="6"/>
        <v>8084330462.6187744</v>
      </c>
      <c r="U7" s="7">
        <f>T7*0.00045*model_energy_weight_us_ca!J18</f>
        <v>4973769.262155829</v>
      </c>
      <c r="V7" s="7">
        <f>O7*Input_values!$B$18</f>
        <v>171401524.15272123</v>
      </c>
      <c r="W7" s="7">
        <f t="shared" si="7"/>
        <v>1304353069.1651633</v>
      </c>
      <c r="X7" s="3">
        <f t="shared" si="8"/>
        <v>3.8132077730604298E-3</v>
      </c>
      <c r="Y7" s="3">
        <f t="shared" si="9"/>
        <v>0.99618679222693962</v>
      </c>
    </row>
    <row r="8" spans="1:25" x14ac:dyDescent="0.3">
      <c r="A8" s="1">
        <f t="shared" si="10"/>
        <v>5</v>
      </c>
      <c r="B8" s="2">
        <v>0</v>
      </c>
      <c r="C8" s="1">
        <f t="shared" si="3"/>
        <v>2025</v>
      </c>
      <c r="D8" s="7">
        <f>$D$2*(1+Input_values!$B$4)^(A8)</f>
        <v>264130497.17281359</v>
      </c>
      <c r="E8" s="3">
        <v>0.11</v>
      </c>
      <c r="F8" s="7">
        <f t="shared" si="11"/>
        <v>1787280.8132241585</v>
      </c>
      <c r="G8" s="33">
        <f>D8*Input_values!$B$5*((1+Input_values!$B$6)^A8)</f>
        <v>16248007.392946895</v>
      </c>
      <c r="H8" s="33">
        <v>0</v>
      </c>
      <c r="I8" s="34">
        <f t="shared" si="4"/>
        <v>6357927.5874391152</v>
      </c>
      <c r="J8" s="34">
        <f t="shared" si="0"/>
        <v>6357927.5874391152</v>
      </c>
      <c r="K8" s="25">
        <f t="shared" si="5"/>
        <v>2.4071160488821901E-2</v>
      </c>
      <c r="L8" s="7">
        <f t="shared" si="1"/>
        <v>14460726.579722736</v>
      </c>
      <c r="M8" s="17">
        <f t="shared" si="12"/>
        <v>0.97592883951117815</v>
      </c>
      <c r="N8" s="34">
        <f t="shared" si="2"/>
        <v>257772569.58537447</v>
      </c>
      <c r="O8" s="7">
        <f>N8*(Input_values!$B$7*(1+Input_values!$B$8)^A8)/(Input_values!$B$13*(1+Input_values!$B$14)^A8)</f>
        <v>126018245409.53601</v>
      </c>
      <c r="P8" s="7">
        <f>O8*Input_values!$B$10</f>
        <v>1119924146.9545467</v>
      </c>
      <c r="Q8" s="17">
        <f>Input_values!L42+Input_values!N42</f>
        <v>0.46434375491984081</v>
      </c>
      <c r="R8" s="32">
        <f>I8*Input_values!$B$7</f>
        <v>73246171442.625549</v>
      </c>
      <c r="S8" s="7">
        <f>R8*Input_values!$B$11</f>
        <v>21241389718.361408</v>
      </c>
      <c r="T8" s="7">
        <f t="shared" si="6"/>
        <v>11378083056.821772</v>
      </c>
      <c r="U8" s="7">
        <f>T8*0.00045*model_energy_weight_us_ca!J19</f>
        <v>6792214.6127950102</v>
      </c>
      <c r="V8" s="7">
        <f>O8*Input_values!$B$18</f>
        <v>170177737.4077813</v>
      </c>
      <c r="W8" s="7">
        <f t="shared" si="7"/>
        <v>1296894098.9751232</v>
      </c>
      <c r="X8" s="3">
        <f t="shared" si="8"/>
        <v>5.2372931746413149E-3</v>
      </c>
      <c r="Y8" s="3">
        <f t="shared" si="9"/>
        <v>0.99476270682535872</v>
      </c>
    </row>
    <row r="9" spans="1:25" x14ac:dyDescent="0.3">
      <c r="A9" s="1">
        <f t="shared" si="10"/>
        <v>6</v>
      </c>
      <c r="B9" s="2">
        <v>0</v>
      </c>
      <c r="C9" s="1">
        <f t="shared" si="3"/>
        <v>2026</v>
      </c>
      <c r="D9" s="7">
        <f>$D$2*(1+Input_values!$B$4)^(A9)</f>
        <v>266243541.15019611</v>
      </c>
      <c r="E9" s="3">
        <v>0.14000000000000001</v>
      </c>
      <c r="F9" s="7">
        <f t="shared" si="11"/>
        <v>2304383.3973091287</v>
      </c>
      <c r="G9" s="33">
        <f>D9*Input_values!$B$5*((1+Input_values!$B$6)^A9)</f>
        <v>16459881.409350919</v>
      </c>
      <c r="H9" s="33">
        <v>0</v>
      </c>
      <c r="I9" s="34">
        <f t="shared" si="4"/>
        <v>8662310.9847482443</v>
      </c>
      <c r="J9" s="34">
        <f t="shared" si="0"/>
        <v>8662310.9847482443</v>
      </c>
      <c r="K9" s="25">
        <f t="shared" si="5"/>
        <v>3.253529061146903E-2</v>
      </c>
      <c r="L9" s="7">
        <f t="shared" si="1"/>
        <v>14155498.01204179</v>
      </c>
      <c r="M9" s="17">
        <f t="shared" si="12"/>
        <v>0.96746470938853102</v>
      </c>
      <c r="N9" s="34">
        <f t="shared" si="2"/>
        <v>257581230.16544786</v>
      </c>
      <c r="O9" s="7">
        <f>N9*(Input_values!$B$7*(1+Input_values!$B$8)^A9)/(Input_values!$B$13*(1+Input_values!$B$14)^A9)</f>
        <v>124875748302.07497</v>
      </c>
      <c r="P9" s="7">
        <f>O9*Input_values!$B$10</f>
        <v>1109770775.1605403</v>
      </c>
      <c r="Q9" s="17">
        <f>Input_values!L43+Input_values!N43</f>
        <v>0.47921578532239911</v>
      </c>
      <c r="R9" s="32">
        <f>I9*Input_values!$B$7</f>
        <v>99793699558.910614</v>
      </c>
      <c r="S9" s="7">
        <f>R9*Input_values!$B$11</f>
        <v>28940172872.084076</v>
      </c>
      <c r="T9" s="7">
        <f t="shared" si="6"/>
        <v>15071585201.822317</v>
      </c>
      <c r="U9" s="7">
        <f>T9*0.00045*model_energy_weight_us_ca!J20</f>
        <v>8993103.140500186</v>
      </c>
      <c r="V9" s="7">
        <f>O9*Input_values!$B$18</f>
        <v>168634884.84614787</v>
      </c>
      <c r="W9" s="7">
        <f t="shared" si="7"/>
        <v>1287398763.1471882</v>
      </c>
      <c r="X9" s="3">
        <f t="shared" si="8"/>
        <v>6.9854837505945351E-3</v>
      </c>
      <c r="Y9" s="3">
        <f t="shared" si="9"/>
        <v>0.99301451624940551</v>
      </c>
    </row>
    <row r="10" spans="1:25" x14ac:dyDescent="0.3">
      <c r="A10" s="1">
        <f t="shared" si="10"/>
        <v>7</v>
      </c>
      <c r="B10" s="2">
        <v>0</v>
      </c>
      <c r="C10" s="1">
        <f t="shared" si="3"/>
        <v>2027</v>
      </c>
      <c r="D10" s="7">
        <f>$D$2*(1+Input_values!$B$4)^(A10)</f>
        <v>268373489.47939771</v>
      </c>
      <c r="E10" s="3">
        <v>0.18</v>
      </c>
      <c r="F10" s="7">
        <f>E10*G10</f>
        <v>3001413.2873271941</v>
      </c>
      <c r="G10" s="33">
        <f>D10*Input_values!$B$5*((1+Input_values!$B$6)^A10)</f>
        <v>16674518.262928857</v>
      </c>
      <c r="H10" s="33">
        <v>0</v>
      </c>
      <c r="I10" s="34">
        <f t="shared" si="4"/>
        <v>11663724.272075439</v>
      </c>
      <c r="J10" s="34">
        <f t="shared" si="0"/>
        <v>11663724.272075439</v>
      </c>
      <c r="K10" s="25">
        <f t="shared" si="5"/>
        <v>4.3460791506274431E-2</v>
      </c>
      <c r="L10" s="7">
        <f t="shared" si="1"/>
        <v>13673104.975601664</v>
      </c>
      <c r="M10" s="17">
        <f t="shared" si="12"/>
        <v>0.95653920849372553</v>
      </c>
      <c r="N10" s="34">
        <f t="shared" si="2"/>
        <v>256709765.20732227</v>
      </c>
      <c r="O10" s="7">
        <f>N10*(Input_values!$B$7*(1+Input_values!$B$8)^A10)/(Input_values!$B$13*(1+Input_values!$B$14)^A10)</f>
        <v>123416561727.10521</v>
      </c>
      <c r="P10" s="7">
        <f>O10*Input_values!$B$10</f>
        <v>1096802984.068784</v>
      </c>
      <c r="Q10" s="17">
        <f>Input_values!L44+Input_values!N44</f>
        <v>0.48289683839647213</v>
      </c>
      <c r="R10" s="32">
        <f>I10*Input_values!$B$7</f>
        <v>134371323979.80959</v>
      </c>
      <c r="S10" s="7">
        <f>R10*Input_values!$B$11</f>
        <v>38967683954.144775</v>
      </c>
      <c r="T10" s="7">
        <f t="shared" si="6"/>
        <v>20150312573.055325</v>
      </c>
      <c r="U10" s="7">
        <f>T10*0.00045*model_energy_weight_us_ca!J21</f>
        <v>11916714.031547725</v>
      </c>
      <c r="V10" s="7">
        <f>O10*Input_values!$B$18</f>
        <v>166664368.045369</v>
      </c>
      <c r="W10" s="7">
        <f t="shared" si="7"/>
        <v>1275384066.1457007</v>
      </c>
      <c r="X10" s="3">
        <f t="shared" si="8"/>
        <v>9.3436278120996637E-3</v>
      </c>
      <c r="Y10" s="3">
        <f t="shared" si="9"/>
        <v>0.99065637218790037</v>
      </c>
    </row>
    <row r="11" spans="1:25" x14ac:dyDescent="0.3">
      <c r="A11" s="1">
        <f t="shared" si="10"/>
        <v>8</v>
      </c>
      <c r="B11" s="2">
        <v>0</v>
      </c>
      <c r="C11" s="1">
        <f t="shared" si="3"/>
        <v>2028</v>
      </c>
      <c r="D11" s="7">
        <f>$D$2*(1+Input_values!$B$4)^(A11)</f>
        <v>270520477.39523292</v>
      </c>
      <c r="E11" s="3">
        <v>0.22</v>
      </c>
      <c r="F11" s="7">
        <f t="shared" si="11"/>
        <v>3716229.8758370383</v>
      </c>
      <c r="G11" s="33">
        <f>D11*Input_values!$B$5*((1+Input_values!$B$6)^A11)</f>
        <v>16891953.981077448</v>
      </c>
      <c r="H11" s="33">
        <f>Input_values!B25</f>
        <v>17763</v>
      </c>
      <c r="I11" s="34">
        <f t="shared" si="4"/>
        <v>15362191.147912476</v>
      </c>
      <c r="J11" s="34">
        <f t="shared" si="0"/>
        <v>15362191.147912476</v>
      </c>
      <c r="K11" s="25">
        <f t="shared" si="5"/>
        <v>5.6787535257333488E-2</v>
      </c>
      <c r="L11" s="7">
        <f t="shared" si="1"/>
        <v>13175724.10524041</v>
      </c>
      <c r="M11" s="17">
        <f t="shared" si="12"/>
        <v>0.94321246474266651</v>
      </c>
      <c r="N11" s="34">
        <f t="shared" si="2"/>
        <v>255158286.24732044</v>
      </c>
      <c r="O11" s="7">
        <f>N11*(Input_values!$B$7*(1+Input_values!$B$8)^A11)/(Input_values!$B$13*(1+Input_values!$B$14)^A11)</f>
        <v>121648817947.62425</v>
      </c>
      <c r="P11" s="7">
        <f>O11*Input_values!$B$10</f>
        <v>1081093045.1005368</v>
      </c>
      <c r="Q11" s="17">
        <f>Input_values!L45+Input_values!N45</f>
        <v>0.48983874044010561</v>
      </c>
      <c r="R11" s="32">
        <f>I11*Input_values!$B$7</f>
        <v>176979317722.55453</v>
      </c>
      <c r="S11" s="7">
        <f>R11*Input_values!$B$11</f>
        <v>51324002139.54081</v>
      </c>
      <c r="T11" s="7">
        <f t="shared" si="6"/>
        <v>26183517577.162849</v>
      </c>
      <c r="U11" s="7">
        <f>T11*0.00045*model_energy_weight_us_ca!J22</f>
        <v>15541001.791710317</v>
      </c>
      <c r="V11" s="7">
        <f>O11*Input_values!$B$18</f>
        <v>164277168.98755714</v>
      </c>
      <c r="W11" s="7">
        <f t="shared" si="7"/>
        <v>1260911215.8798044</v>
      </c>
      <c r="X11" s="3">
        <f t="shared" si="8"/>
        <v>1.2325214968340605E-2</v>
      </c>
      <c r="Y11" s="3">
        <f t="shared" si="9"/>
        <v>0.9876747850316594</v>
      </c>
    </row>
    <row r="12" spans="1:25" x14ac:dyDescent="0.3">
      <c r="A12" s="1">
        <f t="shared" si="10"/>
        <v>9</v>
      </c>
      <c r="B12" s="2">
        <v>0</v>
      </c>
      <c r="C12" s="1">
        <f t="shared" si="3"/>
        <v>2029</v>
      </c>
      <c r="D12" s="7">
        <f>$D$2*(1+Input_values!$B$4)^(A12)</f>
        <v>272684641.21439481</v>
      </c>
      <c r="E12" s="3">
        <v>0.26</v>
      </c>
      <c r="F12" s="7">
        <f t="shared" si="11"/>
        <v>4449178.515857582</v>
      </c>
      <c r="G12" s="33">
        <f>D12*Input_values!$B$5*((1+Input_values!$B$6)^A12)</f>
        <v>17112225.060990699</v>
      </c>
      <c r="H12" s="33">
        <f>Input_values!B26</f>
        <v>53171</v>
      </c>
      <c r="I12" s="34">
        <f t="shared" si="4"/>
        <v>19758198.663770057</v>
      </c>
      <c r="J12" s="34">
        <f t="shared" si="0"/>
        <v>19758198.663770057</v>
      </c>
      <c r="K12" s="25">
        <f t="shared" si="5"/>
        <v>7.2458054754302892E-2</v>
      </c>
      <c r="L12" s="7">
        <f t="shared" si="1"/>
        <v>12663046.545133118</v>
      </c>
      <c r="M12" s="17">
        <f t="shared" si="12"/>
        <v>0.92754194524569711</v>
      </c>
      <c r="N12" s="34">
        <f t="shared" si="2"/>
        <v>252926442.55062476</v>
      </c>
      <c r="O12" s="7">
        <f>N12*(Input_values!$B$7*(1+Input_values!$B$8)^A12)/(Input_values!$B$13*(1+Input_values!$B$14)^A12)</f>
        <v>119580293587.05327</v>
      </c>
      <c r="P12" s="7">
        <f>O12*Input_values!$B$10</f>
        <v>1062710069.1081425</v>
      </c>
      <c r="Q12" s="17">
        <f>Input_values!L46+Input_values!N46</f>
        <v>0.4969071354824206</v>
      </c>
      <c r="R12" s="32">
        <f>I12*Input_values!$B$7</f>
        <v>227623291838.53976</v>
      </c>
      <c r="S12" s="7">
        <f>R12*Input_values!$B$11</f>
        <v>66010754633.176529</v>
      </c>
      <c r="T12" s="7">
        <f t="shared" si="6"/>
        <v>33209539637.371857</v>
      </c>
      <c r="U12" s="7">
        <f>T12*0.00045*model_energy_weight_us_ca!J23</f>
        <v>19718958.220195517</v>
      </c>
      <c r="V12" s="7">
        <f>O12*Input_values!$B$18</f>
        <v>161483789.39152437</v>
      </c>
      <c r="W12" s="7">
        <f t="shared" si="7"/>
        <v>1243912816.7198622</v>
      </c>
      <c r="X12" s="3">
        <f t="shared" si="8"/>
        <v>1.5852363570136252E-2</v>
      </c>
      <c r="Y12" s="3">
        <f t="shared" si="9"/>
        <v>0.9841476364298638</v>
      </c>
    </row>
    <row r="13" spans="1:25" s="154" customFormat="1" x14ac:dyDescent="0.3">
      <c r="A13" s="144">
        <f t="shared" si="10"/>
        <v>10</v>
      </c>
      <c r="B13" s="165">
        <v>0.05</v>
      </c>
      <c r="C13" s="144">
        <f t="shared" si="3"/>
        <v>2030</v>
      </c>
      <c r="D13" s="146">
        <f>$D$2*(1+Input_values!$B$4)^(A13)</f>
        <v>274866118.34410995</v>
      </c>
      <c r="E13" s="147">
        <f>30%+B13</f>
        <v>0.35</v>
      </c>
      <c r="F13" s="146">
        <f t="shared" si="11"/>
        <v>6067378.9665251048</v>
      </c>
      <c r="G13" s="148">
        <f>D13*Input_values!$B$5*((1+Input_values!$B$6)^A13)</f>
        <v>17335368.475786015</v>
      </c>
      <c r="H13" s="148">
        <f>Input_values!B27</f>
        <v>97102</v>
      </c>
      <c r="I13" s="150">
        <f t="shared" si="4"/>
        <v>25728475.630295161</v>
      </c>
      <c r="J13" s="150">
        <f t="shared" si="0"/>
        <v>25728475.630295161</v>
      </c>
      <c r="K13" s="151">
        <f t="shared" si="5"/>
        <v>9.3603663431828327E-2</v>
      </c>
      <c r="L13" s="146">
        <f t="shared" si="1"/>
        <v>11267989.50926091</v>
      </c>
      <c r="M13" s="152">
        <f>1-K13</f>
        <v>0.90639633656817165</v>
      </c>
      <c r="N13" s="150">
        <f t="shared" si="2"/>
        <v>249137642.7138148</v>
      </c>
      <c r="O13" s="146">
        <f>N13*(Input_values!$B$7*(1+Input_values!$B$8)^A13)/(Input_values!$B$13*(1+Input_values!$B$14)^A13)</f>
        <v>116807813252.5784</v>
      </c>
      <c r="P13" s="146">
        <f>O13*Input_values!$B$10</f>
        <v>1038071036.3756644</v>
      </c>
      <c r="Q13" s="152">
        <f>Input_values!L47+Input_values!N47</f>
        <v>0.50453428873385486</v>
      </c>
      <c r="R13" s="153">
        <f>I13*Input_values!$B$7</f>
        <v>296403554626.36975</v>
      </c>
      <c r="S13" s="146">
        <f>R13*Input_values!$B$11</f>
        <v>85957030841.647217</v>
      </c>
      <c r="T13" s="146">
        <f t="shared" si="6"/>
        <v>42588761424.282715</v>
      </c>
      <c r="U13" s="7">
        <f>T13*0.00045*model_energy_weight_us_ca!J24</f>
        <v>25289065.835844461</v>
      </c>
      <c r="V13" s="146">
        <f>O13*Input_values!$B$18</f>
        <v>157739772.57241067</v>
      </c>
      <c r="W13" s="146">
        <f t="shared" si="7"/>
        <v>1221099874.7839196</v>
      </c>
      <c r="X13" s="147">
        <f t="shared" si="8"/>
        <v>2.0710071598622922E-2</v>
      </c>
      <c r="Y13" s="147">
        <f t="shared" si="9"/>
        <v>0.97928992840137707</v>
      </c>
    </row>
    <row r="14" spans="1:25" x14ac:dyDescent="0.3">
      <c r="A14" s="1">
        <f t="shared" si="10"/>
        <v>11</v>
      </c>
      <c r="B14" s="38">
        <v>0.1</v>
      </c>
      <c r="C14" s="1">
        <f t="shared" si="3"/>
        <v>2031</v>
      </c>
      <c r="D14" s="7">
        <f>$D$2*(1+Input_values!$B$4)^(A14)</f>
        <v>277065047.29086286</v>
      </c>
      <c r="E14" s="3">
        <f>31.4%+B14</f>
        <v>0.41400000000000003</v>
      </c>
      <c r="F14" s="7">
        <f t="shared" si="11"/>
        <v>7270428.5758140497</v>
      </c>
      <c r="G14" s="33">
        <f>D14*Input_values!$B$5*((1+Input_values!$B$6)^A14)</f>
        <v>17561421.680710264</v>
      </c>
      <c r="H14" s="33">
        <f>Input_values!B28</f>
        <v>118882</v>
      </c>
      <c r="I14" s="34">
        <f t="shared" si="4"/>
        <v>32880022.206109211</v>
      </c>
      <c r="J14" s="34">
        <f t="shared" si="0"/>
        <v>32880022.206109211</v>
      </c>
      <c r="K14" s="25">
        <f t="shared" si="5"/>
        <v>0.11867257356209124</v>
      </c>
      <c r="L14" s="7">
        <f t="shared" si="1"/>
        <v>10290993.104896214</v>
      </c>
      <c r="M14" s="17">
        <f t="shared" si="12"/>
        <v>0.88132742643790873</v>
      </c>
      <c r="N14" s="34">
        <f t="shared" si="2"/>
        <v>244185025.08475363</v>
      </c>
      <c r="O14" s="7">
        <f>N14*(Input_values!$B$7*(1+Input_values!$B$8)^A14)/(Input_values!$B$13*(1+Input_values!$B$14)^A14)</f>
        <v>113532116068.07803</v>
      </c>
      <c r="P14" s="7">
        <f>O14*Input_values!$B$10</f>
        <v>1008959915.4970095</v>
      </c>
      <c r="Q14" s="17">
        <f>Input_values!L48+Input_values!N48</f>
        <v>0.50568832355593707</v>
      </c>
      <c r="R14" s="32">
        <f>I14*Input_values!$B$7</f>
        <v>378792572017.3316</v>
      </c>
      <c r="S14" s="7">
        <f>R14*Input_values!$B$11</f>
        <v>109849845885.02615</v>
      </c>
      <c r="T14" s="7">
        <f t="shared" si="6"/>
        <v>54300061476.549225</v>
      </c>
      <c r="U14" s="7">
        <f>T14*0.00045*model_energy_weight_us_ca!J25</f>
        <v>32068933.928364515</v>
      </c>
      <c r="V14" s="7">
        <f>O14*Input_values!$B$18</f>
        <v>153316200.94213045</v>
      </c>
      <c r="W14" s="7">
        <f t="shared" si="7"/>
        <v>1194345050.3675046</v>
      </c>
      <c r="X14" s="3">
        <f t="shared" si="8"/>
        <v>2.6850644140482501E-2</v>
      </c>
      <c r="Y14" s="3">
        <f t="shared" si="9"/>
        <v>0.97314935585951745</v>
      </c>
    </row>
    <row r="15" spans="1:25" x14ac:dyDescent="0.3">
      <c r="A15" s="1">
        <f t="shared" si="10"/>
        <v>12</v>
      </c>
      <c r="B15" s="38">
        <v>0.15</v>
      </c>
      <c r="C15" s="1">
        <f t="shared" si="3"/>
        <v>2032</v>
      </c>
      <c r="D15" s="7">
        <f>$D$2*(1+Input_values!$B$4)^(A15)</f>
        <v>279281567.66918975</v>
      </c>
      <c r="E15" s="3">
        <f>35.8%+B15</f>
        <v>0.50800000000000001</v>
      </c>
      <c r="F15" s="7">
        <f t="shared" si="11"/>
        <v>9037534.6906687729</v>
      </c>
      <c r="G15" s="33">
        <f>D15*Input_values!$B$5*((1+Input_values!$B$6)^A15)</f>
        <v>17790422.61942672</v>
      </c>
      <c r="H15" s="33">
        <f>Input_values!B29</f>
        <v>114023</v>
      </c>
      <c r="I15" s="34">
        <f t="shared" si="4"/>
        <v>41803533.896777987</v>
      </c>
      <c r="J15" s="34">
        <f t="shared" si="0"/>
        <v>41803533.896777987</v>
      </c>
      <c r="K15" s="25">
        <f t="shared" si="5"/>
        <v>0.14968239488792348</v>
      </c>
      <c r="L15" s="7">
        <f t="shared" si="1"/>
        <v>8752887.9287579469</v>
      </c>
      <c r="M15" s="17">
        <f t="shared" si="12"/>
        <v>0.85031760511207655</v>
      </c>
      <c r="N15" s="34">
        <f t="shared" si="2"/>
        <v>237478033.77241176</v>
      </c>
      <c r="O15" s="7">
        <f>N15*(Input_values!$B$7*(1+Input_values!$B$8)^A15)/(Input_values!$B$13*(1+Input_values!$B$14)^A15)</f>
        <v>109493997880.45244</v>
      </c>
      <c r="P15" s="7">
        <f>O15*Input_values!$B$10</f>
        <v>973073159.16358089</v>
      </c>
      <c r="Q15" s="17">
        <f>Input_values!L49+Input_values!N49</f>
        <v>0.50747174284039853</v>
      </c>
      <c r="R15" s="32">
        <f>I15*Input_values!$B$7</f>
        <v>481595420614.77289</v>
      </c>
      <c r="S15" s="7">
        <f>R15*Input_values!$B$11</f>
        <v>139662671978.28412</v>
      </c>
      <c r="T15" s="7">
        <f t="shared" si="6"/>
        <v>68787812419.717392</v>
      </c>
      <c r="U15" s="7">
        <f>T15*0.00045*model_energy_weight_us_ca!J26</f>
        <v>40442793.020525724</v>
      </c>
      <c r="V15" s="7">
        <f>O15*Input_values!$B$18</f>
        <v>147863039.66122174</v>
      </c>
      <c r="W15" s="7">
        <f t="shared" si="7"/>
        <v>1161378991.8453283</v>
      </c>
      <c r="X15" s="3">
        <f t="shared" si="8"/>
        <v>3.4823079549825255E-2</v>
      </c>
      <c r="Y15" s="3">
        <f t="shared" si="9"/>
        <v>0.96517692045017478</v>
      </c>
    </row>
    <row r="16" spans="1:25" x14ac:dyDescent="0.3">
      <c r="A16" s="1">
        <f t="shared" si="10"/>
        <v>13</v>
      </c>
      <c r="B16" s="38">
        <v>0.2</v>
      </c>
      <c r="C16" s="1">
        <f t="shared" si="3"/>
        <v>2033</v>
      </c>
      <c r="D16" s="7">
        <f>$D$2*(1+Input_values!$B$4)^(A16)</f>
        <v>281515820.21054322</v>
      </c>
      <c r="E16" s="3">
        <f>40.2%+B16</f>
        <v>0.60200000000000009</v>
      </c>
      <c r="F16" s="7">
        <f t="shared" si="11"/>
        <v>10849490.657691194</v>
      </c>
      <c r="G16" s="33">
        <f>D16*Input_values!$B$5*((1+Input_values!$B$6)^A16)</f>
        <v>18022409.730384041</v>
      </c>
      <c r="H16" s="33">
        <f>Input_values!B30</f>
        <v>159616</v>
      </c>
      <c r="I16" s="34">
        <f t="shared" si="4"/>
        <v>52493408.554469183</v>
      </c>
      <c r="J16" s="34">
        <f t="shared" si="0"/>
        <v>52493408.554469183</v>
      </c>
      <c r="K16" s="25">
        <f t="shared" si="5"/>
        <v>0.1864669932766472</v>
      </c>
      <c r="L16" s="7">
        <f t="shared" si="1"/>
        <v>7172919.0726928469</v>
      </c>
      <c r="M16" s="17">
        <f t="shared" si="12"/>
        <v>0.81353300672335283</v>
      </c>
      <c r="N16" s="34">
        <f t="shared" si="2"/>
        <v>229022411.65607405</v>
      </c>
      <c r="O16" s="7">
        <f>N16*(Input_values!$B$7*(1+Input_values!$B$8)^A16)/(Input_values!$B$13*(1+Input_values!$B$14)^A16)</f>
        <v>104715751845.54039</v>
      </c>
      <c r="P16" s="7">
        <f>O16*Input_values!$B$10</f>
        <v>930608886.65131748</v>
      </c>
      <c r="Q16" s="17">
        <f>Input_values!L50+Input_values!N50</f>
        <v>0.51176480957801385</v>
      </c>
      <c r="R16" s="32">
        <f>I16*Input_values!$B$7</f>
        <v>604747561168.29651</v>
      </c>
      <c r="S16" s="7">
        <f>R16*Input_values!$B$11</f>
        <v>175376792738.80597</v>
      </c>
      <c r="T16" s="7">
        <f t="shared" si="6"/>
        <v>85625121798.428131</v>
      </c>
      <c r="U16" s="7">
        <f>T16*0.00045*model_energy_weight_us_ca!J27</f>
        <v>50290025.162051767</v>
      </c>
      <c r="V16" s="7">
        <f>O16*Input_values!$B$18</f>
        <v>141410393.88475943</v>
      </c>
      <c r="W16" s="7">
        <f t="shared" si="7"/>
        <v>1122309305.6981287</v>
      </c>
      <c r="X16" s="3">
        <f t="shared" si="8"/>
        <v>4.4809416536708682E-2</v>
      </c>
      <c r="Y16" s="3">
        <f t="shared" si="9"/>
        <v>0.95519058346329133</v>
      </c>
    </row>
    <row r="17" spans="1:25" x14ac:dyDescent="0.3">
      <c r="A17" s="1">
        <f t="shared" si="10"/>
        <v>14</v>
      </c>
      <c r="B17" s="38">
        <v>0.25</v>
      </c>
      <c r="C17" s="1">
        <f t="shared" si="3"/>
        <v>2034</v>
      </c>
      <c r="D17" s="7">
        <f>$D$2*(1+Input_values!$B$4)^(A17)</f>
        <v>283767946.77222764</v>
      </c>
      <c r="E17" s="3">
        <f>44.6%+B17</f>
        <v>0.69599999999999995</v>
      </c>
      <c r="F17" s="7">
        <f t="shared" si="11"/>
        <v>12707165.6794747</v>
      </c>
      <c r="G17" s="33">
        <f>D17*Input_values!$B$5*((1+Input_values!$B$6)^A17)</f>
        <v>18257421.953268249</v>
      </c>
      <c r="H17" s="33">
        <f>Input_values!B31</f>
        <v>195581</v>
      </c>
      <c r="I17" s="34">
        <f t="shared" si="4"/>
        <v>65004993.23394388</v>
      </c>
      <c r="J17" s="34">
        <f t="shared" si="0"/>
        <v>65004993.23394388</v>
      </c>
      <c r="K17" s="25">
        <f t="shared" si="5"/>
        <v>0.22907799831994949</v>
      </c>
      <c r="L17" s="7">
        <f t="shared" si="1"/>
        <v>5550256.2737935483</v>
      </c>
      <c r="M17" s="17">
        <f t="shared" si="12"/>
        <v>0.77092200168005054</v>
      </c>
      <c r="N17" s="34">
        <f t="shared" si="2"/>
        <v>218762953.53828377</v>
      </c>
      <c r="O17" s="7">
        <f>N17*(Input_values!$B$7*(1+Input_values!$B$8)^A17)/(Input_values!$B$13*(1+Input_values!$B$14)^A17)</f>
        <v>99191617633.216614</v>
      </c>
      <c r="P17" s="7">
        <f>O17*Input_values!$B$10</f>
        <v>881515905.90639615</v>
      </c>
      <c r="Q17" s="17">
        <f>Input_values!L51+Input_values!N51</f>
        <v>0.51740989906551482</v>
      </c>
      <c r="R17" s="32">
        <f>I17*Input_values!$B$7</f>
        <v>748886616520.58545</v>
      </c>
      <c r="S17" s="7">
        <f>R17*Input_values!$B$11</f>
        <v>217177118790.96976</v>
      </c>
      <c r="T17" s="7">
        <f t="shared" si="6"/>
        <v>104807527677.99477</v>
      </c>
      <c r="U17" s="7">
        <f>T17*0.00045*model_energy_weight_us_ca!J28</f>
        <v>61461139.252370879</v>
      </c>
      <c r="V17" s="7">
        <f>O17*Input_values!$B$18</f>
        <v>133950484.7395791</v>
      </c>
      <c r="W17" s="7">
        <f t="shared" si="7"/>
        <v>1076927529.8983462</v>
      </c>
      <c r="X17" s="3">
        <f t="shared" si="8"/>
        <v>5.7070821894740074E-2</v>
      </c>
      <c r="Y17" s="3">
        <f t="shared" si="9"/>
        <v>0.94292917810525989</v>
      </c>
    </row>
    <row r="18" spans="1:25" x14ac:dyDescent="0.3">
      <c r="A18" s="1">
        <f t="shared" si="10"/>
        <v>15</v>
      </c>
      <c r="B18" s="38">
        <f>Input_values!$B$15</f>
        <v>0.05</v>
      </c>
      <c r="C18" s="1">
        <f t="shared" si="3"/>
        <v>2035</v>
      </c>
      <c r="D18" s="7">
        <f>$D$2*(1+Input_values!$B$4)^(A18)</f>
        <v>286038090.34640545</v>
      </c>
      <c r="E18" s="3">
        <v>1</v>
      </c>
      <c r="F18" s="7">
        <f t="shared" si="11"/>
        <v>18495498.735538859</v>
      </c>
      <c r="G18" s="33">
        <f>D18*Input_values!$B$5*((1+Input_values!$B$6)^A18)</f>
        <v>18495498.735538859</v>
      </c>
      <c r="H18" s="33">
        <f>Input_values!B32</f>
        <v>361315</v>
      </c>
      <c r="I18" s="34">
        <f t="shared" si="4"/>
        <v>83139176.969482735</v>
      </c>
      <c r="J18" s="34">
        <f t="shared" si="0"/>
        <v>83139176.969482735</v>
      </c>
      <c r="K18" s="25">
        <f t="shared" si="5"/>
        <v>0.29065771229558035</v>
      </c>
      <c r="L18" s="7">
        <f t="shared" si="1"/>
        <v>0</v>
      </c>
      <c r="M18" s="17">
        <f t="shared" si="12"/>
        <v>0.70934228770441965</v>
      </c>
      <c r="N18" s="34">
        <f t="shared" si="2"/>
        <v>202898913.37692273</v>
      </c>
      <c r="O18" s="7">
        <f>N18*(Input_values!$B$7*(1+Input_values!$B$8)^A18)/(Input_values!$B$13*(1+Input_values!$B$14)^A18)</f>
        <v>91232185537.811874</v>
      </c>
      <c r="P18" s="7">
        <f>O18*Input_values!$B$10</f>
        <v>810780432.87453425</v>
      </c>
      <c r="Q18" s="17">
        <f>Input_values!L52+Input_values!N52</f>
        <v>0.52315618055416779</v>
      </c>
      <c r="R18" s="32">
        <f>I18*Input_values!$B$7</f>
        <v>957800529521.02515</v>
      </c>
      <c r="S18" s="7">
        <f>R18*Input_values!$B$11</f>
        <v>277762153561.09729</v>
      </c>
      <c r="T18" s="7">
        <f t="shared" si="6"/>
        <v>132449166201.57339</v>
      </c>
      <c r="U18" s="7">
        <f>T18*0.00045*model_energy_weight_us_ca!J29</f>
        <v>77402391.388886809</v>
      </c>
      <c r="V18" s="7">
        <f>O18*Input_values!$B$18</f>
        <v>123201897.17874676</v>
      </c>
      <c r="W18" s="7">
        <f t="shared" si="7"/>
        <v>1011384721.4421678</v>
      </c>
      <c r="X18" s="3">
        <f t="shared" si="8"/>
        <v>7.6531106064679444E-2</v>
      </c>
      <c r="Y18" s="3">
        <f t="shared" si="9"/>
        <v>0.92346889393532061</v>
      </c>
    </row>
    <row r="19" spans="1:25" x14ac:dyDescent="0.3">
      <c r="A19" s="1">
        <f t="shared" si="10"/>
        <v>16</v>
      </c>
      <c r="B19" s="38">
        <f>Input_values!$B$15</f>
        <v>0.05</v>
      </c>
      <c r="C19" s="1">
        <f t="shared" si="3"/>
        <v>2036</v>
      </c>
      <c r="D19" s="7">
        <f>$D$2*(1+Input_values!$B$4)^(A19)</f>
        <v>288326395.06917673</v>
      </c>
      <c r="E19" s="3">
        <v>1</v>
      </c>
      <c r="F19" s="7">
        <f t="shared" si="11"/>
        <v>18736680.039050288</v>
      </c>
      <c r="G19" s="33">
        <f>D19*Input_values!$B$5*((1+Input_values!$B$6)^A19)</f>
        <v>18736680.039050288</v>
      </c>
      <c r="H19" s="33">
        <f>Input_values!B33</f>
        <v>326644</v>
      </c>
      <c r="I19" s="34">
        <f t="shared" si="4"/>
        <v>101549213.00853303</v>
      </c>
      <c r="J19" s="34">
        <f t="shared" si="0"/>
        <v>101549213.00853303</v>
      </c>
      <c r="K19" s="25">
        <f t="shared" si="5"/>
        <v>0.35220227750625754</v>
      </c>
      <c r="L19" s="7">
        <f t="shared" si="1"/>
        <v>0</v>
      </c>
      <c r="M19" s="17">
        <f t="shared" si="12"/>
        <v>0.64779772249374246</v>
      </c>
      <c r="N19" s="34">
        <f t="shared" si="2"/>
        <v>186777182.0606437</v>
      </c>
      <c r="O19" s="7">
        <f>N19*(Input_values!$B$7*(1+Input_values!$B$8)^A19)/(Input_values!$B$13*(1+Input_values!$B$14)^A19)</f>
        <v>83283571210.401855</v>
      </c>
      <c r="P19" s="7">
        <f>O19*Input_values!$B$10</f>
        <v>740141097.34684134</v>
      </c>
      <c r="Q19" s="17">
        <f>Input_values!L53+Input_values!N53</f>
        <v>0.52673018138622829</v>
      </c>
      <c r="R19" s="32">
        <f>I19*Input_values!$B$7</f>
        <v>1169892384521.8989</v>
      </c>
      <c r="S19" s="7">
        <f>R19*Input_values!$B$11</f>
        <v>339268791511.35065</v>
      </c>
      <c r="T19" s="7">
        <f t="shared" si="6"/>
        <v>160565679419.89044</v>
      </c>
      <c r="U19" s="7">
        <f>T19*0.00045*model_energy_weight_us_ca!J30</f>
        <v>93674169.390218914</v>
      </c>
      <c r="V19" s="7">
        <f>O19*Input_values!$B$18</f>
        <v>112467918.16348782</v>
      </c>
      <c r="W19" s="7">
        <f t="shared" si="7"/>
        <v>946283184.9005481</v>
      </c>
      <c r="X19" s="3">
        <f t="shared" si="8"/>
        <v>9.8991687567674388E-2</v>
      </c>
      <c r="Y19" s="3">
        <f t="shared" si="9"/>
        <v>0.9010083124323256</v>
      </c>
    </row>
    <row r="20" spans="1:25" x14ac:dyDescent="0.3">
      <c r="A20" s="1">
        <f t="shared" si="10"/>
        <v>17</v>
      </c>
      <c r="B20" s="38">
        <f>Input_values!$B$15</f>
        <v>0.05</v>
      </c>
      <c r="C20" s="1">
        <f t="shared" si="3"/>
        <v>2037</v>
      </c>
      <c r="D20" s="7">
        <f>$D$2*(1+Input_values!$B$4)^(A20)</f>
        <v>290633006.22973013</v>
      </c>
      <c r="E20" s="3">
        <v>1</v>
      </c>
      <c r="F20" s="7">
        <f>E20*G20</f>
        <v>18981006.346759506</v>
      </c>
      <c r="G20" s="33">
        <f>D20*Input_values!$B$5*((1+Input_values!$B$6)^A20)</f>
        <v>18981006.346759506</v>
      </c>
      <c r="H20" s="33">
        <f t="shared" ref="H20:H33" si="13">F3</f>
        <v>328000</v>
      </c>
      <c r="I20" s="34">
        <f t="shared" si="4"/>
        <v>120202219.35529253</v>
      </c>
      <c r="J20" s="34">
        <f t="shared" si="0"/>
        <v>120202219.35529253</v>
      </c>
      <c r="K20" s="25">
        <f t="shared" si="5"/>
        <v>0.4135876406972131</v>
      </c>
      <c r="L20" s="7">
        <f t="shared" si="1"/>
        <v>0</v>
      </c>
      <c r="M20" s="17">
        <f t="shared" si="12"/>
        <v>0.5864123593027869</v>
      </c>
      <c r="N20" s="34">
        <f t="shared" si="2"/>
        <v>170430786.8744376</v>
      </c>
      <c r="O20" s="7">
        <f>N20*(Input_values!$B$7*(1+Input_values!$B$8)^A20)/(Input_values!$B$13*(1+Input_values!$B$14)^A20)</f>
        <v>75361708005.089737</v>
      </c>
      <c r="P20" s="7">
        <f>O20*Input_values!$B$10</f>
        <v>669739499.04123259</v>
      </c>
      <c r="Q20" s="17">
        <f>Input_values!L54+Input_values!N54</f>
        <v>0.52637982951186624</v>
      </c>
      <c r="R20" s="32">
        <f>I20*Input_values!$B$7</f>
        <v>1384783366214.479</v>
      </c>
      <c r="S20" s="7">
        <f>R20*Input_values!$B$11</f>
        <v>401587176202.19891</v>
      </c>
      <c r="T20" s="7">
        <f t="shared" si="6"/>
        <v>190199786858.73367</v>
      </c>
      <c r="U20" s="7">
        <f>T20*0.00045*model_energy_weight_us_ca!J31</f>
        <v>110324406.31283604</v>
      </c>
      <c r="V20" s="7">
        <f>O20*Input_values!$B$18</f>
        <v>101770064.43641193</v>
      </c>
      <c r="W20" s="7">
        <f t="shared" si="7"/>
        <v>881833969.79048061</v>
      </c>
      <c r="X20" s="3">
        <f t="shared" si="8"/>
        <v>0.12510791157098264</v>
      </c>
      <c r="Y20" s="3">
        <f t="shared" si="9"/>
        <v>0.87489208842901733</v>
      </c>
    </row>
    <row r="21" spans="1:25" x14ac:dyDescent="0.3">
      <c r="A21" s="1">
        <f t="shared" si="10"/>
        <v>18</v>
      </c>
      <c r="B21" s="38">
        <f>Input_values!$B$15</f>
        <v>0.05</v>
      </c>
      <c r="C21" s="1">
        <f t="shared" si="3"/>
        <v>2038</v>
      </c>
      <c r="D21" s="7">
        <f>$D$2*(1+Input_values!$B$4)^(A21)</f>
        <v>292958070.27956802</v>
      </c>
      <c r="E21" s="3">
        <v>1</v>
      </c>
      <c r="F21" s="7">
        <f>E21*G21</f>
        <v>19228518.669521242</v>
      </c>
      <c r="G21" s="33">
        <f>D21*Input_values!$B$5*((1+Input_values!$B$6)^A21)</f>
        <v>19228518.669521242</v>
      </c>
      <c r="H21" s="33">
        <f t="shared" si="13"/>
        <v>617097.41030246392</v>
      </c>
      <c r="I21" s="34">
        <f t="shared" si="4"/>
        <v>138813640.61451131</v>
      </c>
      <c r="J21" s="34">
        <f t="shared" si="0"/>
        <v>138813640.61451131</v>
      </c>
      <c r="K21" s="25">
        <f t="shared" si="5"/>
        <v>0.47383449953108425</v>
      </c>
      <c r="L21" s="7">
        <f t="shared" si="1"/>
        <v>0</v>
      </c>
      <c r="M21" s="17">
        <f t="shared" si="12"/>
        <v>0.52616550046891575</v>
      </c>
      <c r="N21" s="34">
        <f t="shared" si="2"/>
        <v>154144429.66505671</v>
      </c>
      <c r="O21" s="7">
        <f>N21*(Input_values!$B$7*(1+Input_values!$B$8)^A21)/(Input_values!$B$13*(1+Input_values!$B$14)^A21)</f>
        <v>67592371154.715469</v>
      </c>
      <c r="P21" s="7">
        <f>O21*Input_values!$B$10</f>
        <v>600693402.45195639</v>
      </c>
      <c r="Q21" s="17">
        <f>Input_values!L55+Input_values!N55</f>
        <v>0.52426260935727664</v>
      </c>
      <c r="R21" s="32">
        <f>I21*Input_values!$B$7</f>
        <v>1599195269086.2368</v>
      </c>
      <c r="S21" s="7">
        <f>R21*Input_values!$B$11</f>
        <v>463766628035.00867</v>
      </c>
      <c r="T21" s="7">
        <f t="shared" si="6"/>
        <v>220631125488.5495</v>
      </c>
      <c r="U21" s="7">
        <f>T21*0.00045*model_energy_weight_us_ca!J32</f>
        <v>126769157.66457045</v>
      </c>
      <c r="V21" s="7">
        <f>O21*Input_values!$B$18</f>
        <v>91278185.565548524</v>
      </c>
      <c r="W21" s="7">
        <f t="shared" si="7"/>
        <v>818740745.68207538</v>
      </c>
      <c r="X21" s="3">
        <f t="shared" si="8"/>
        <v>0.15483430906930348</v>
      </c>
      <c r="Y21" s="3">
        <f t="shared" si="9"/>
        <v>0.84516569093069649</v>
      </c>
    </row>
    <row r="22" spans="1:25" x14ac:dyDescent="0.3">
      <c r="A22" s="1">
        <f t="shared" si="10"/>
        <v>19</v>
      </c>
      <c r="B22" s="38">
        <f>Input_values!$B$15</f>
        <v>0.05</v>
      </c>
      <c r="C22" s="1">
        <f t="shared" si="3"/>
        <v>2039</v>
      </c>
      <c r="D22" s="7">
        <f>$D$2*(1+Input_values!$B$4)^(A22)</f>
        <v>295301734.84180456</v>
      </c>
      <c r="E22" s="3">
        <v>1</v>
      </c>
      <c r="F22" s="7">
        <f>E22*G22</f>
        <v>19479258.552971799</v>
      </c>
      <c r="G22" s="33">
        <f>D22*Input_values!$B$5*((1+Input_values!$B$6)^A22)</f>
        <v>19479258.552971799</v>
      </c>
      <c r="H22" s="33">
        <f t="shared" si="13"/>
        <v>781430.45066601003</v>
      </c>
      <c r="I22" s="34">
        <f t="shared" si="4"/>
        <v>157511468.71681711</v>
      </c>
      <c r="J22" s="34">
        <f t="shared" si="0"/>
        <v>157511468.71681711</v>
      </c>
      <c r="K22" s="25">
        <f t="shared" si="5"/>
        <v>0.53339161316203321</v>
      </c>
      <c r="L22" s="7">
        <f t="shared" si="1"/>
        <v>0</v>
      </c>
      <c r="M22" s="17">
        <f t="shared" si="12"/>
        <v>0.46660838683796679</v>
      </c>
      <c r="N22" s="34">
        <f t="shared" si="2"/>
        <v>137790266.12498745</v>
      </c>
      <c r="O22" s="7">
        <f>N22*(Input_values!$B$7*(1+Input_values!$B$8)^A22)/(Input_values!$B$13*(1+Input_values!$B$14)^A22)</f>
        <v>59917757171.284203</v>
      </c>
      <c r="P22" s="7">
        <f>O22*Input_values!$B$10</f>
        <v>532489107.98120278</v>
      </c>
      <c r="Q22" s="17">
        <f>Input_values!L56+Input_values!N56</f>
        <v>0.52304249188586138</v>
      </c>
      <c r="R22" s="32">
        <f>I22*Input_values!$B$7</f>
        <v>1814602617463.708</v>
      </c>
      <c r="S22" s="7">
        <f>R22*Input_values!$B$11</f>
        <v>526234759064.47528</v>
      </c>
      <c r="T22" s="7">
        <f t="shared" si="6"/>
        <v>250991619366.43625</v>
      </c>
      <c r="U22" s="7">
        <f>T22*0.00045*model_energy_weight_us_ca!J33</f>
        <v>143475943.81737408</v>
      </c>
      <c r="V22" s="7">
        <f>O22*Input_values!$B$18</f>
        <v>80914222.482789859</v>
      </c>
      <c r="W22" s="7">
        <f t="shared" si="7"/>
        <v>756879274.28136671</v>
      </c>
      <c r="X22" s="3">
        <f t="shared" si="8"/>
        <v>0.18956252164996856</v>
      </c>
      <c r="Y22" s="3">
        <f t="shared" si="9"/>
        <v>0.81043747835003144</v>
      </c>
    </row>
    <row r="23" spans="1:25" x14ac:dyDescent="0.3">
      <c r="A23" s="1">
        <f t="shared" si="10"/>
        <v>20</v>
      </c>
      <c r="B23" s="38">
        <f>Input_values!$B$15</f>
        <v>0.05</v>
      </c>
      <c r="C23" s="1">
        <f t="shared" si="3"/>
        <v>2040</v>
      </c>
      <c r="D23" s="7">
        <f>$D$2*(1+Input_values!$B$4)^(A23)</f>
        <v>297664148.72053903</v>
      </c>
      <c r="E23" s="3">
        <v>1</v>
      </c>
      <c r="F23" s="7">
        <f>E23*G23</f>
        <v>19733268.084502552</v>
      </c>
      <c r="G23" s="33">
        <f>D23*Input_values!$B$5*((1+Input_values!$B$6)^A23)</f>
        <v>19733268.084502552</v>
      </c>
      <c r="H23" s="33">
        <f t="shared" si="13"/>
        <v>949944.36449123383</v>
      </c>
      <c r="I23" s="34">
        <f t="shared" si="4"/>
        <v>176294792.43682843</v>
      </c>
      <c r="J23" s="34">
        <f t="shared" si="0"/>
        <v>176294792.43682843</v>
      </c>
      <c r="K23" s="25">
        <f t="shared" si="5"/>
        <v>0.59226075157052993</v>
      </c>
      <c r="L23" s="7">
        <f t="shared" si="1"/>
        <v>0</v>
      </c>
      <c r="M23" s="17">
        <f t="shared" si="12"/>
        <v>0.40773924842947007</v>
      </c>
      <c r="N23" s="34">
        <f t="shared" si="2"/>
        <v>121369356.2837106</v>
      </c>
      <c r="O23" s="7">
        <f>N23*(Input_values!$B$7*(1+Input_values!$B$8)^A23)/(Input_values!$B$13*(1+Input_values!$B$14)^A23)</f>
        <v>52337529801.701859</v>
      </c>
      <c r="P23" s="7">
        <f>O23*Input_values!$B$10</f>
        <v>465123627.34772444</v>
      </c>
      <c r="Q23" s="17">
        <f>Input_values!L57+Input_values!N57</f>
        <v>0.52283963702227865</v>
      </c>
      <c r="R23" s="32">
        <f>I23*Input_values!$B$7</f>
        <v>2030994913622.6582</v>
      </c>
      <c r="S23" s="7">
        <f>R23*Input_values!$B$11</f>
        <v>588988524950.5708</v>
      </c>
      <c r="T23" s="7">
        <f t="shared" si="6"/>
        <v>281041978355.12708</v>
      </c>
      <c r="U23" s="7">
        <f>T23*0.00045*model_energy_weight_us_ca!J34</f>
        <v>159978324.96403435</v>
      </c>
      <c r="V23" s="7">
        <f>O23*Input_values!$B$18</f>
        <v>70677721.104756504</v>
      </c>
      <c r="W23" s="7">
        <f t="shared" si="7"/>
        <v>695779673.41651523</v>
      </c>
      <c r="X23" s="3">
        <f t="shared" si="8"/>
        <v>0.22992670104673549</v>
      </c>
      <c r="Y23" s="3">
        <f t="shared" si="9"/>
        <v>0.77007329895326448</v>
      </c>
    </row>
    <row r="24" spans="1:25" x14ac:dyDescent="0.3">
      <c r="A24" s="1">
        <f t="shared" si="10"/>
        <v>21</v>
      </c>
      <c r="B24" s="38">
        <f>Input_values!$B$15</f>
        <v>0.05</v>
      </c>
      <c r="C24" s="1">
        <f t="shared" si="3"/>
        <v>2041</v>
      </c>
      <c r="D24" s="7">
        <f>$D$2*(1+Input_values!$B$4)^(A24)</f>
        <v>300045461.91030335</v>
      </c>
      <c r="E24" s="3">
        <v>1</v>
      </c>
      <c r="F24" s="7">
        <f t="shared" si="11"/>
        <v>19990589.90032446</v>
      </c>
      <c r="G24" s="33">
        <f>D24*Input_values!$B$5*((1+Input_values!$B$6)^A24)</f>
        <v>19990589.90032446</v>
      </c>
      <c r="H24" s="33">
        <f t="shared" si="13"/>
        <v>1202914.5487552488</v>
      </c>
      <c r="I24" s="34">
        <f t="shared" si="4"/>
        <v>195082467.78839764</v>
      </c>
      <c r="J24" s="34">
        <f t="shared" si="0"/>
        <v>195082467.78839764</v>
      </c>
      <c r="K24" s="25">
        <f t="shared" si="5"/>
        <v>0.65017636509602095</v>
      </c>
      <c r="L24" s="7">
        <f t="shared" si="1"/>
        <v>0</v>
      </c>
      <c r="M24" s="17">
        <f t="shared" si="12"/>
        <v>0.34982363490397905</v>
      </c>
      <c r="N24" s="34">
        <f t="shared" si="2"/>
        <v>104962994.12190571</v>
      </c>
      <c r="O24" s="7">
        <f>N24*(Input_values!$B$7*(1+Input_values!$B$8)^A24)/(Input_values!$B$13*(1+Input_values!$B$14)^A24)</f>
        <v>44885652855.663559</v>
      </c>
      <c r="P24" s="7">
        <f>O24*Input_values!$B$10</f>
        <v>398898796.92828208</v>
      </c>
      <c r="Q24" s="17">
        <f>Input_values!L58+Input_values!N58</f>
        <v>0.52393292051979379</v>
      </c>
      <c r="R24" s="32">
        <f>I24*Input_values!$B$7</f>
        <v>2247437342524.8271</v>
      </c>
      <c r="S24" s="7">
        <f>R24*Input_values!$B$11</f>
        <v>651756829332.19983</v>
      </c>
      <c r="T24" s="7">
        <f t="shared" si="6"/>
        <v>310279970271.45959</v>
      </c>
      <c r="U24" s="7">
        <f>T24*0.00045*model_energy_weight_us_ca!J35</f>
        <v>176054301.78300363</v>
      </c>
      <c r="V24" s="7">
        <f>O24*Input_values!$B$18</f>
        <v>60614546.887429692</v>
      </c>
      <c r="W24" s="7">
        <f t="shared" si="7"/>
        <v>635567645.59871542</v>
      </c>
      <c r="X24" s="3">
        <f t="shared" si="8"/>
        <v>0.27700324741539906</v>
      </c>
      <c r="Y24" s="3">
        <f t="shared" si="9"/>
        <v>0.72299675258460094</v>
      </c>
    </row>
    <row r="25" spans="1:25" s="21" customFormat="1" x14ac:dyDescent="0.3">
      <c r="A25" s="19">
        <f t="shared" si="10"/>
        <v>22</v>
      </c>
      <c r="B25" s="38">
        <f>Input_values!$B$15</f>
        <v>0.05</v>
      </c>
      <c r="C25" s="19">
        <f t="shared" si="3"/>
        <v>2042</v>
      </c>
      <c r="D25" s="7">
        <f>$D$2*(1+Input_values!$B$4)^(A25)</f>
        <v>302445825.60558575</v>
      </c>
      <c r="E25" s="30">
        <v>1</v>
      </c>
      <c r="F25" s="7">
        <f t="shared" si="11"/>
        <v>20251267.192624684</v>
      </c>
      <c r="G25" s="33">
        <f>D25*Input_values!$B$5*((1+Input_values!$B$6)^A25)</f>
        <v>20251267.192624684</v>
      </c>
      <c r="H25" s="33">
        <f t="shared" si="13"/>
        <v>1787280.8132241585</v>
      </c>
      <c r="I25" s="34">
        <f t="shared" si="4"/>
        <v>213546454.16779816</v>
      </c>
      <c r="J25" s="34">
        <f t="shared" si="0"/>
        <v>213546454.16779816</v>
      </c>
      <c r="K25" s="25">
        <f t="shared" si="5"/>
        <v>0.70606513989807984</v>
      </c>
      <c r="L25" s="7">
        <f t="shared" si="1"/>
        <v>0</v>
      </c>
      <c r="M25" s="17">
        <f t="shared" si="12"/>
        <v>0.29393486010192016</v>
      </c>
      <c r="N25" s="34">
        <f t="shared" si="2"/>
        <v>88899371.437787592</v>
      </c>
      <c r="O25" s="7">
        <f>N25*(Input_values!$B$7*(1+Input_values!$B$8)^A25)/(Input_values!$B$13*(1+Input_values!$B$14)^A25)</f>
        <v>37699638773.2481</v>
      </c>
      <c r="P25" s="7">
        <f>O25*Input_values!$B$10</f>
        <v>335036689.77785587</v>
      </c>
      <c r="Q25" s="17">
        <f>Input_values!L59+Input_values!N59</f>
        <v>0.52351192181306005</v>
      </c>
      <c r="R25" s="32">
        <f>I25*Input_values!$B$7</f>
        <v>2460150729593.2393</v>
      </c>
      <c r="S25" s="7">
        <f>R25*Input_values!$B$11</f>
        <v>713443711582.03931</v>
      </c>
      <c r="T25" s="7">
        <f t="shared" si="6"/>
        <v>339947423026.28339</v>
      </c>
      <c r="U25" s="7">
        <f>T25*0.00045*model_energy_weight_us_ca!J36</f>
        <v>192290406.70186672</v>
      </c>
      <c r="V25" s="7">
        <f>O25*Input_values!$B$18</f>
        <v>50910399.574858256</v>
      </c>
      <c r="W25" s="7">
        <f t="shared" si="7"/>
        <v>578237496.05458093</v>
      </c>
      <c r="X25" s="30">
        <f t="shared" si="8"/>
        <v>0.33254572388317771</v>
      </c>
      <c r="Y25" s="30">
        <f t="shared" si="9"/>
        <v>0.66745427611682229</v>
      </c>
    </row>
    <row r="26" spans="1:25" x14ac:dyDescent="0.3">
      <c r="A26" s="1">
        <f t="shared" si="10"/>
        <v>23</v>
      </c>
      <c r="B26" s="38">
        <f>Input_values!$B$15</f>
        <v>0.05</v>
      </c>
      <c r="C26" s="1">
        <f t="shared" si="3"/>
        <v>2043</v>
      </c>
      <c r="D26" s="7">
        <f>$D$2*(1+Input_values!$B$4)^(A26)</f>
        <v>304865392.2104305</v>
      </c>
      <c r="E26" s="3">
        <v>1</v>
      </c>
      <c r="F26" s="7">
        <f t="shared" si="11"/>
        <v>20515343.716816511</v>
      </c>
      <c r="G26" s="33">
        <f>D26*Input_values!$B$5*((1+Input_values!$B$6)^A26)</f>
        <v>20515343.716816511</v>
      </c>
      <c r="H26" s="33">
        <f t="shared" si="13"/>
        <v>2304383.3973091287</v>
      </c>
      <c r="I26" s="34">
        <f t="shared" si="4"/>
        <v>231757414.48730555</v>
      </c>
      <c r="J26" s="34">
        <f t="shared" si="0"/>
        <v>231757414.48730555</v>
      </c>
      <c r="K26" s="25">
        <f t="shared" si="5"/>
        <v>0.76019587794778998</v>
      </c>
      <c r="L26" s="7">
        <f t="shared" si="1"/>
        <v>0</v>
      </c>
      <c r="M26" s="17">
        <f t="shared" si="12"/>
        <v>0.23980412205221002</v>
      </c>
      <c r="N26" s="34">
        <f t="shared" si="2"/>
        <v>73107977.723124951</v>
      </c>
      <c r="O26" s="7">
        <f>N26*(Input_values!$B$7*(1+Input_values!$B$8)^A26)/(Input_values!$B$13*(1+Input_values!$B$14)^A26)</f>
        <v>30744712233.866814</v>
      </c>
      <c r="P26" s="7">
        <f>O26*Input_values!$B$10</f>
        <v>273228257.62237442</v>
      </c>
      <c r="Q26" s="17">
        <f>Input_values!L60+Input_values!N60</f>
        <v>0.52179441790917702</v>
      </c>
      <c r="R26" s="32">
        <f>I26*Input_values!$B$7</f>
        <v>2669949143204.106</v>
      </c>
      <c r="S26" s="7">
        <f>R26*Input_values!$B$11</f>
        <v>774285251529.19067</v>
      </c>
      <c r="T26" s="7">
        <f t="shared" si="6"/>
        <v>370267529411.8559</v>
      </c>
      <c r="U26" s="7">
        <f>T26*0.00045*model_energy_weight_us_ca!J37</f>
        <v>208122383.45814535</v>
      </c>
      <c r="V26" s="7">
        <f>O26*Input_values!$B$18</f>
        <v>41518317.82937099</v>
      </c>
      <c r="W26" s="7">
        <f t="shared" si="7"/>
        <v>522868958.90989077</v>
      </c>
      <c r="X26" s="3">
        <f t="shared" si="8"/>
        <v>0.39803927908065462</v>
      </c>
      <c r="Y26" s="3">
        <f t="shared" si="9"/>
        <v>0.60196072091934538</v>
      </c>
    </row>
    <row r="27" spans="1:25" x14ac:dyDescent="0.3">
      <c r="A27" s="1">
        <f t="shared" si="10"/>
        <v>24</v>
      </c>
      <c r="B27" s="38">
        <f>Input_values!$B$15</f>
        <v>0.05</v>
      </c>
      <c r="C27" s="1">
        <f t="shared" si="3"/>
        <v>2044</v>
      </c>
      <c r="D27" s="7">
        <f>$D$2*(1+Input_values!$B$4)^(A27)</f>
        <v>307304315.34811395</v>
      </c>
      <c r="E27" s="3">
        <v>1</v>
      </c>
      <c r="F27" s="7">
        <f t="shared" si="11"/>
        <v>20782863.798883803</v>
      </c>
      <c r="G27" s="33">
        <f>D27*Input_values!$B$5*((1+Input_values!$B$6)^A27)</f>
        <v>20782863.798883803</v>
      </c>
      <c r="H27" s="33">
        <f t="shared" si="13"/>
        <v>3001413.2873271941</v>
      </c>
      <c r="I27" s="34">
        <f t="shared" si="4"/>
        <v>249538864.99886215</v>
      </c>
      <c r="J27" s="34">
        <f t="shared" si="0"/>
        <v>249538864.99886215</v>
      </c>
      <c r="K27" s="25">
        <f t="shared" si="5"/>
        <v>0.81202525488841515</v>
      </c>
      <c r="L27" s="7">
        <f t="shared" si="1"/>
        <v>0</v>
      </c>
      <c r="M27" s="17">
        <f t="shared" si="12"/>
        <v>0.18797474511158485</v>
      </c>
      <c r="N27" s="34">
        <f t="shared" si="2"/>
        <v>57765450.349251807</v>
      </c>
      <c r="O27" s="7">
        <f>N27*(Input_values!$B$7*(1+Input_values!$B$8)^A27)/(Input_values!$B$13*(1+Input_values!$B$14)^A27)</f>
        <v>24090232315.150997</v>
      </c>
      <c r="P27" s="7">
        <f>O27*Input_values!$B$10</f>
        <v>214089894.58474693</v>
      </c>
      <c r="Q27" s="17">
        <f>Input_values!L61+Input_values!N61</f>
        <v>0.52156307365949317</v>
      </c>
      <c r="R27" s="32">
        <f>I27*Input_values!$B$7</f>
        <v>2874799411590.48</v>
      </c>
      <c r="S27" s="7">
        <f>R27*Input_values!$B$11</f>
        <v>833691829361.23914</v>
      </c>
      <c r="T27" s="7">
        <f>S27*(1-Q27)</f>
        <v>398868956354.78558</v>
      </c>
      <c r="U27" s="7">
        <f>T27*0.00045*model_energy_weight_us_ca!J38</f>
        <v>223145033.13192633</v>
      </c>
      <c r="V27" s="7">
        <f>O27*Input_values!$B$18</f>
        <v>32531965.634795204</v>
      </c>
      <c r="W27" s="7">
        <f t="shared" si="7"/>
        <v>469766893.35146844</v>
      </c>
      <c r="X27" s="3">
        <f t="shared" si="8"/>
        <v>0.47501225882466458</v>
      </c>
      <c r="Y27" s="3">
        <f t="shared" si="9"/>
        <v>0.52498774117533542</v>
      </c>
    </row>
    <row r="28" spans="1:25" x14ac:dyDescent="0.3">
      <c r="A28" s="1">
        <f t="shared" si="10"/>
        <v>25</v>
      </c>
      <c r="B28" s="38">
        <f>Input_values!$B$15</f>
        <v>0.05</v>
      </c>
      <c r="C28" s="1">
        <f t="shared" si="3"/>
        <v>2045</v>
      </c>
      <c r="D28" s="7">
        <f>$D$2*(1+Input_values!$B$4)^(A28)</f>
        <v>309762749.87089884</v>
      </c>
      <c r="E28" s="3">
        <v>1</v>
      </c>
      <c r="F28" s="7">
        <f t="shared" si="11"/>
        <v>21053872.34282124</v>
      </c>
      <c r="G28" s="33">
        <f>D28*Input_values!$B$5*((1+Input_values!$B$6)^A28)</f>
        <v>21053872.34282124</v>
      </c>
      <c r="H28" s="33">
        <f t="shared" si="13"/>
        <v>3716229.8758370383</v>
      </c>
      <c r="I28" s="34">
        <f t="shared" si="4"/>
        <v>266876507.46584636</v>
      </c>
      <c r="J28" s="34">
        <f t="shared" si="0"/>
        <v>266876507.46584636</v>
      </c>
      <c r="K28" s="25">
        <f t="shared" si="5"/>
        <v>0.86155132460915207</v>
      </c>
      <c r="L28" s="7">
        <f t="shared" si="1"/>
        <v>0</v>
      </c>
      <c r="M28" s="17">
        <f t="shared" si="12"/>
        <v>0.13844867539084793</v>
      </c>
      <c r="N28" s="34">
        <f t="shared" si="2"/>
        <v>42886242.405052483</v>
      </c>
      <c r="O28" s="7">
        <f>N28*(Input_values!$B$7*(1+Input_values!$B$8)^A28)/(Input_values!$B$13*(1+Input_values!$B$14)^A28)</f>
        <v>17736094073.359138</v>
      </c>
      <c r="P28" s="7">
        <f>O28*Input_values!$B$10</f>
        <v>157620668.02994269</v>
      </c>
      <c r="Q28" s="17">
        <f>Input_values!L62+Input_values!N62</f>
        <v>0.52154159557871671</v>
      </c>
      <c r="R28" s="32">
        <f>I28*Input_values!$B$7</f>
        <v>3074536812666.9805</v>
      </c>
      <c r="S28" s="7">
        <f>R28*Input_values!$B$11</f>
        <v>891615675673.42432</v>
      </c>
      <c r="T28" s="7">
        <f t="shared" si="6"/>
        <v>426601013539.711</v>
      </c>
      <c r="U28" s="7">
        <f>T28*0.00045*model_energy_weight_us_ca!J39</f>
        <v>236996070.54763395</v>
      </c>
      <c r="V28" s="7">
        <f>O28*Input_values!$B$18</f>
        <v>23951201.272854883</v>
      </c>
      <c r="W28" s="7">
        <f t="shared" si="7"/>
        <v>418567939.8504315</v>
      </c>
      <c r="X28" s="3">
        <f t="shared" si="8"/>
        <v>0.56620693556300716</v>
      </c>
      <c r="Y28" s="3">
        <f t="shared" si="9"/>
        <v>0.43379306443699284</v>
      </c>
    </row>
    <row r="29" spans="1:25" x14ac:dyDescent="0.3">
      <c r="A29" s="1">
        <f t="shared" si="10"/>
        <v>26</v>
      </c>
      <c r="B29" s="38">
        <f>Input_values!$B$15</f>
        <v>0.05</v>
      </c>
      <c r="C29" s="1">
        <f t="shared" si="3"/>
        <v>2046</v>
      </c>
      <c r="D29" s="7">
        <f>$D$2*(1+Input_values!$B$4)^(A29)</f>
        <v>312240851.86986607</v>
      </c>
      <c r="E29" s="3">
        <v>1</v>
      </c>
      <c r="F29" s="7">
        <f t="shared" si="11"/>
        <v>21328414.838171631</v>
      </c>
      <c r="G29" s="33">
        <f>D29*Input_values!$B$5*((1+Input_values!$B$6)^A29)</f>
        <v>21328414.838171631</v>
      </c>
      <c r="H29" s="33">
        <f t="shared" si="13"/>
        <v>4449178.515857582</v>
      </c>
      <c r="I29" s="34">
        <f t="shared" si="4"/>
        <v>283755743.78816044</v>
      </c>
      <c r="J29" s="34">
        <f t="shared" si="0"/>
        <v>283755743.78816044</v>
      </c>
      <c r="K29" s="25">
        <f t="shared" si="5"/>
        <v>0.90877200112950796</v>
      </c>
      <c r="L29" s="7">
        <f t="shared" si="1"/>
        <v>0</v>
      </c>
      <c r="M29" s="17">
        <f t="shared" si="12"/>
        <v>9.1227998870492044E-2</v>
      </c>
      <c r="N29" s="34">
        <f t="shared" si="2"/>
        <v>28485108.08170563</v>
      </c>
      <c r="O29" s="7">
        <f>N29*(Input_values!$B$7*(1+Input_values!$B$8)^A29)/(Input_values!$B$13*(1+Input_values!$B$14)^A29)</f>
        <v>11682210360.379726</v>
      </c>
      <c r="P29" s="7">
        <f>O29*Input_values!$B$10</f>
        <v>103819803.47269464</v>
      </c>
      <c r="Q29" s="17">
        <f>Input_values!L63+Input_values!N63</f>
        <v>0.52439646772857373</v>
      </c>
      <c r="R29" s="32">
        <f>I29*Input_values!$B$7</f>
        <v>3268993169786.7676</v>
      </c>
      <c r="S29" s="7">
        <f>R29*Input_values!$B$11</f>
        <v>948008019238.16248</v>
      </c>
      <c r="T29" s="7">
        <f t="shared" si="6"/>
        <v>450875962571.30829</v>
      </c>
      <c r="U29" s="7">
        <f>T29*0.00045*model_energy_weight_us_ca!J40</f>
        <v>249917066.41711986</v>
      </c>
      <c r="V29" s="7">
        <f>O29*Input_values!$B$18</f>
        <v>15775907.056873877</v>
      </c>
      <c r="W29" s="7">
        <f t="shared" si="7"/>
        <v>369512776.94668835</v>
      </c>
      <c r="X29" s="3">
        <f t="shared" si="8"/>
        <v>0.67634215109475571</v>
      </c>
      <c r="Y29" s="3">
        <f t="shared" si="9"/>
        <v>0.32365784890524429</v>
      </c>
    </row>
    <row r="30" spans="1:25" x14ac:dyDescent="0.3">
      <c r="A30" s="1">
        <f t="shared" si="10"/>
        <v>27</v>
      </c>
      <c r="B30" s="38">
        <f>Input_values!$B$15</f>
        <v>0.05</v>
      </c>
      <c r="C30" s="1">
        <f t="shared" si="3"/>
        <v>2047</v>
      </c>
      <c r="D30" s="7">
        <f>$D$2*(1+Input_values!$B$4)^(A30)</f>
        <v>314738778.68482506</v>
      </c>
      <c r="E30" s="3">
        <v>1</v>
      </c>
      <c r="F30" s="7">
        <f t="shared" si="11"/>
        <v>21606537.36766139</v>
      </c>
      <c r="G30" s="33">
        <f>D30*Input_values!$B$5*((1+Input_values!$B$6)^A30)</f>
        <v>21606537.36766139</v>
      </c>
      <c r="H30" s="33">
        <f t="shared" si="13"/>
        <v>6067378.9665251048</v>
      </c>
      <c r="I30" s="34">
        <f t="shared" si="4"/>
        <v>299294902.18929678</v>
      </c>
      <c r="J30" s="34">
        <f t="shared" si="0"/>
        <v>299294902.18929678</v>
      </c>
      <c r="K30" s="25">
        <f t="shared" si="5"/>
        <v>0.95093112910947153</v>
      </c>
      <c r="L30" s="7">
        <f t="shared" si="1"/>
        <v>0</v>
      </c>
      <c r="M30" s="17">
        <f t="shared" si="12"/>
        <v>4.9068870890528471E-2</v>
      </c>
      <c r="N30" s="34">
        <f t="shared" si="2"/>
        <v>15443876.495528281</v>
      </c>
      <c r="O30" s="7">
        <f>N30*(Input_values!$B$7*(1+Input_values!$B$8)^A30)/(Input_values!$B$13*(1+Input_values!$B$14)^A30)</f>
        <v>6281026613.0297251</v>
      </c>
      <c r="P30" s="7">
        <f>O30*Input_values!$B$10</f>
        <v>55819483.50999517</v>
      </c>
      <c r="Q30" s="17">
        <f>Input_values!L64+Input_values!N64</f>
        <v>0.52791205545836828</v>
      </c>
      <c r="R30" s="32">
        <f>I30*Input_values!$B$7</f>
        <v>3448011229472.1865</v>
      </c>
      <c r="S30" s="7">
        <f>R30*Input_values!$B$11</f>
        <v>999923256546.93408</v>
      </c>
      <c r="T30" s="7">
        <f t="shared" si="6"/>
        <v>472051714882.61682</v>
      </c>
      <c r="U30" s="7">
        <f>T30*0.00045*model_energy_weight_us_ca!J41</f>
        <v>261104635.13815656</v>
      </c>
      <c r="V30" s="7">
        <f>O30*Input_values!$B$18</f>
        <v>8482032.8527012952</v>
      </c>
      <c r="W30" s="7">
        <f t="shared" si="7"/>
        <v>325406151.50085306</v>
      </c>
      <c r="X30" s="3">
        <f t="shared" si="8"/>
        <v>0.80239612537709526</v>
      </c>
      <c r="Y30" s="3">
        <f t="shared" si="9"/>
        <v>0.19760387462290474</v>
      </c>
    </row>
    <row r="31" spans="1:25" x14ac:dyDescent="0.3">
      <c r="A31" s="1">
        <f t="shared" si="10"/>
        <v>28</v>
      </c>
      <c r="B31" s="38">
        <f>Input_values!$B$15</f>
        <v>0.05</v>
      </c>
      <c r="C31" s="1">
        <f t="shared" si="3"/>
        <v>2048</v>
      </c>
      <c r="D31" s="7">
        <f>$D$2*(1+Input_values!$B$4)^(A31)</f>
        <v>317256688.91430366</v>
      </c>
      <c r="E31" s="3">
        <v>1</v>
      </c>
      <c r="F31" s="7">
        <f t="shared" si="11"/>
        <v>21888286.614935689</v>
      </c>
      <c r="G31" s="33">
        <f>D31*Input_values!$B$5*((1+Input_values!$B$6)^A31)</f>
        <v>21888286.614935689</v>
      </c>
      <c r="H31" s="33">
        <f t="shared" si="13"/>
        <v>7270428.5758140497</v>
      </c>
      <c r="I31" s="34">
        <f t="shared" si="4"/>
        <v>313912760.22841841</v>
      </c>
      <c r="J31" s="34">
        <f t="shared" si="0"/>
        <v>313912760.22841841</v>
      </c>
      <c r="K31" s="25">
        <f t="shared" si="5"/>
        <v>0.98945986388079432</v>
      </c>
      <c r="L31" s="7">
        <f t="shared" si="1"/>
        <v>0</v>
      </c>
      <c r="M31" s="17">
        <f t="shared" si="12"/>
        <v>1.0540136119205679E-2</v>
      </c>
      <c r="N31" s="34">
        <f t="shared" si="2"/>
        <v>3343928.6858852506</v>
      </c>
      <c r="O31" s="7">
        <f>N31*(Input_values!$B$7*(1+Input_values!$B$8)^A31)/(Input_values!$B$13*(1+Input_values!$B$14)^A31)</f>
        <v>1348647598.9197662</v>
      </c>
      <c r="P31" s="7">
        <f>O31*Input_values!$B$10</f>
        <v>11985431.211599963</v>
      </c>
      <c r="Q31" s="17">
        <f>Input_values!L65+Input_values!N65</f>
        <v>0.52871631044500045</v>
      </c>
      <c r="R31" s="32">
        <f>I31*Input_values!$B$7</f>
        <v>3616415496638.2319</v>
      </c>
      <c r="S31" s="7">
        <f>R31*Input_values!$B$11</f>
        <v>1048760494025.0872</v>
      </c>
      <c r="T31" s="7">
        <f t="shared" si="6"/>
        <v>494263715083.66711</v>
      </c>
      <c r="U31" s="7">
        <f>T31*0.00045*model_energy_weight_us_ca!J42</f>
        <v>272930063.27999496</v>
      </c>
      <c r="V31" s="7">
        <f>O31*Input_values!$B$18</f>
        <v>1821242.6002182327</v>
      </c>
      <c r="W31" s="7">
        <f t="shared" si="7"/>
        <v>286736737.09181315</v>
      </c>
      <c r="X31" s="3">
        <f t="shared" si="8"/>
        <v>0.95184895402015657</v>
      </c>
      <c r="Y31" s="3">
        <f t="shared" si="9"/>
        <v>4.8151045979843432E-2</v>
      </c>
    </row>
    <row r="32" spans="1:25" x14ac:dyDescent="0.3">
      <c r="A32" s="1">
        <f t="shared" si="10"/>
        <v>29</v>
      </c>
      <c r="B32" s="38">
        <f>Input_values!$B$15</f>
        <v>0.05</v>
      </c>
      <c r="C32" s="1">
        <f t="shared" si="3"/>
        <v>2049</v>
      </c>
      <c r="D32" s="7">
        <f>$D$2*(1+Input_values!$B$4)^(A32)</f>
        <v>319794742.42561805</v>
      </c>
      <c r="E32" s="3">
        <v>1</v>
      </c>
      <c r="F32" s="7">
        <f t="shared" si="11"/>
        <v>22173709.872394443</v>
      </c>
      <c r="G32" s="33">
        <f>D32*Input_values!$B$5*((1+Input_values!$B$6)^A32)</f>
        <v>22173709.872394443</v>
      </c>
      <c r="H32" s="33">
        <f t="shared" si="13"/>
        <v>9037534.6906687729</v>
      </c>
      <c r="I32" s="34">
        <f t="shared" si="4"/>
        <v>319794742.42561805</v>
      </c>
      <c r="J32" s="34">
        <f t="shared" si="0"/>
        <v>319794742.42561805</v>
      </c>
      <c r="K32" s="25">
        <f t="shared" si="5"/>
        <v>1</v>
      </c>
      <c r="L32" s="7">
        <f t="shared" si="1"/>
        <v>0</v>
      </c>
      <c r="M32" s="17">
        <f t="shared" si="12"/>
        <v>0</v>
      </c>
      <c r="N32" s="34">
        <f t="shared" si="2"/>
        <v>0</v>
      </c>
      <c r="O32" s="7">
        <f>N32*(Input_values!$B$7*(1+Input_values!$B$8)^A32)/(Input_values!$B$13*(1+Input_values!$B$14)^A32)</f>
        <v>0</v>
      </c>
      <c r="P32" s="7">
        <f>O32*Input_values!$B$10</f>
        <v>0</v>
      </c>
      <c r="Q32" s="17">
        <f>Input_values!L66+Input_values!N66</f>
        <v>0.52950206273940503</v>
      </c>
      <c r="R32" s="32">
        <f>I32*Input_values!$B$7</f>
        <v>3684178564165.0972</v>
      </c>
      <c r="S32" s="7">
        <f>R32*Input_values!$B$11</f>
        <v>1068411783607.8781</v>
      </c>
      <c r="T32" s="7">
        <f t="shared" si="6"/>
        <v>502685540332.4198</v>
      </c>
      <c r="U32" s="7">
        <f>T32*0.00045*model_energy_weight_us_ca!J43</f>
        <v>276999367.12399703</v>
      </c>
      <c r="V32" s="7">
        <f>O32*Input_values!$B$18</f>
        <v>0</v>
      </c>
      <c r="W32" s="7">
        <f t="shared" si="7"/>
        <v>276999367.12399703</v>
      </c>
      <c r="X32" s="3">
        <f t="shared" si="8"/>
        <v>1</v>
      </c>
      <c r="Y32" s="3">
        <f t="shared" si="9"/>
        <v>0</v>
      </c>
    </row>
    <row r="33" spans="1:25" x14ac:dyDescent="0.3">
      <c r="A33" s="1">
        <f t="shared" si="10"/>
        <v>30</v>
      </c>
      <c r="B33" s="38">
        <f>Input_values!$B$15</f>
        <v>0.05</v>
      </c>
      <c r="C33" s="1">
        <f t="shared" si="3"/>
        <v>2050</v>
      </c>
      <c r="D33" s="7">
        <f>$D$2*(1+Input_values!$B$4)^(A33)</f>
        <v>322353100.36502302</v>
      </c>
      <c r="E33" s="3">
        <v>1</v>
      </c>
      <c r="F33" s="7">
        <f t="shared" si="11"/>
        <v>22462855.049130466</v>
      </c>
      <c r="G33" s="33">
        <f>D33*Input_values!$B$5*((1+Input_values!$B$6)^A33)</f>
        <v>22462855.049130466</v>
      </c>
      <c r="H33" s="33">
        <f t="shared" si="13"/>
        <v>10849490.657691194</v>
      </c>
      <c r="I33" s="34">
        <f t="shared" si="4"/>
        <v>322353100.36502302</v>
      </c>
      <c r="J33" s="34">
        <f t="shared" si="0"/>
        <v>322353100.36502302</v>
      </c>
      <c r="K33" s="25">
        <f t="shared" si="5"/>
        <v>1</v>
      </c>
      <c r="L33" s="7">
        <f t="shared" si="1"/>
        <v>0</v>
      </c>
      <c r="M33" s="17">
        <f t="shared" si="12"/>
        <v>0</v>
      </c>
      <c r="N33" s="34">
        <f t="shared" si="2"/>
        <v>0</v>
      </c>
      <c r="O33" s="7">
        <f>N33*(Input_values!$B$7*(1+Input_values!$B$8)^A33)/(Input_values!$B$13*(1+Input_values!$B$14)^A33)</f>
        <v>0</v>
      </c>
      <c r="P33" s="7">
        <f>O33*Input_values!$B$10</f>
        <v>0</v>
      </c>
      <c r="Q33" s="17">
        <f>Input_values!L67+Input_values!N67</f>
        <v>0.52973073007814242</v>
      </c>
      <c r="R33" s="32">
        <f>I33*Input_values!$B$7</f>
        <v>3713651992678.418</v>
      </c>
      <c r="S33" s="7">
        <f>R33*Input_values!$B$11</f>
        <v>1076959077876.7411</v>
      </c>
      <c r="T33" s="7">
        <f t="shared" si="6"/>
        <v>506460759288.81201</v>
      </c>
      <c r="U33" s="7">
        <f>T33*0.00045*model_energy_weight_us_ca!J44</f>
        <v>278042186.17030895</v>
      </c>
      <c r="V33" s="7">
        <f>O33*Input_values!$B$18</f>
        <v>0</v>
      </c>
      <c r="W33" s="7">
        <f t="shared" si="7"/>
        <v>278042186.17030895</v>
      </c>
      <c r="X33" s="3">
        <f t="shared" si="8"/>
        <v>1</v>
      </c>
      <c r="Y33" s="3">
        <f t="shared" si="9"/>
        <v>0</v>
      </c>
    </row>
    <row r="34" spans="1:25" x14ac:dyDescent="0.3">
      <c r="D34" s="7"/>
      <c r="I34" s="24"/>
      <c r="J34" s="24"/>
      <c r="S34" s="23"/>
    </row>
    <row r="35" spans="1:25" ht="18" x14ac:dyDescent="0.35">
      <c r="A35" s="8"/>
      <c r="B35" s="8"/>
      <c r="C35" s="5"/>
      <c r="E35" s="5"/>
      <c r="F35" s="5"/>
      <c r="I35" s="24"/>
      <c r="J35" s="24"/>
      <c r="K35" s="5"/>
      <c r="L35" s="5"/>
      <c r="M35" s="42"/>
      <c r="N35" s="23"/>
      <c r="O35" s="5"/>
      <c r="P35" s="5"/>
      <c r="Q35" s="5"/>
    </row>
    <row r="36" spans="1:25" x14ac:dyDescent="0.3">
      <c r="A36" s="9"/>
      <c r="B36" s="9"/>
      <c r="C36" s="9"/>
      <c r="E36" s="9"/>
      <c r="F36" s="6"/>
      <c r="G36" s="95"/>
      <c r="H36" s="97"/>
      <c r="I36" s="11"/>
      <c r="J36" s="11"/>
      <c r="K36" s="9"/>
      <c r="L36" s="9"/>
      <c r="M36" s="9"/>
      <c r="N36" s="93"/>
      <c r="O36" s="9"/>
      <c r="P36" s="7"/>
      <c r="Q36" s="10"/>
    </row>
    <row r="37" spans="1:25" x14ac:dyDescent="0.3">
      <c r="A37" s="87" t="s">
        <v>86</v>
      </c>
      <c r="B37" s="9"/>
      <c r="C37" s="5"/>
      <c r="D37" s="93"/>
      <c r="E37" s="6"/>
      <c r="F37" s="6"/>
      <c r="G37" s="95"/>
      <c r="H37" s="96"/>
      <c r="I37" s="12"/>
      <c r="J37" s="12"/>
      <c r="K37" s="16"/>
      <c r="L37" s="16"/>
      <c r="M37" s="6"/>
      <c r="N37" s="94"/>
      <c r="O37" s="6"/>
      <c r="P37" s="6"/>
      <c r="Q37" s="6"/>
    </row>
    <row r="38" spans="1:25" x14ac:dyDescent="0.3">
      <c r="A38" s="5"/>
      <c r="B38" s="5"/>
      <c r="C38" s="5"/>
      <c r="D38" s="94"/>
      <c r="E38" s="6"/>
      <c r="F38" s="6"/>
      <c r="G38" s="95"/>
      <c r="H38" s="96"/>
      <c r="I38" s="12"/>
      <c r="J38" s="12"/>
      <c r="K38" s="16"/>
      <c r="L38" s="16"/>
      <c r="P38" s="6"/>
      <c r="Q38" s="6"/>
    </row>
    <row r="39" spans="1:25" x14ac:dyDescent="0.3">
      <c r="A39" s="5"/>
      <c r="B39" s="5"/>
      <c r="C39" s="5"/>
      <c r="D39" s="94"/>
      <c r="E39" s="6"/>
      <c r="F39" s="6"/>
      <c r="G39" s="95"/>
      <c r="H39" s="16"/>
      <c r="I39" s="12"/>
      <c r="J39" s="12"/>
      <c r="K39" s="16"/>
      <c r="L39" s="16"/>
      <c r="M39" s="6"/>
      <c r="N39" s="94"/>
      <c r="O39" s="6"/>
      <c r="P39" s="6"/>
      <c r="Q39" s="6"/>
    </row>
    <row r="40" spans="1:25" x14ac:dyDescent="0.3">
      <c r="A40" s="5"/>
      <c r="B40" s="5"/>
      <c r="C40" s="5"/>
      <c r="D40" s="94"/>
      <c r="E40" s="6"/>
      <c r="F40" s="6"/>
      <c r="G40" s="95"/>
      <c r="H40" s="16"/>
      <c r="I40" s="12"/>
      <c r="J40" s="12"/>
      <c r="K40" s="16"/>
      <c r="L40" s="16"/>
      <c r="M40" s="6"/>
      <c r="N40" s="94"/>
      <c r="O40" s="6"/>
      <c r="P40" s="6"/>
      <c r="Q40" s="6"/>
    </row>
    <row r="41" spans="1:25" x14ac:dyDescent="0.3">
      <c r="A41" s="5"/>
      <c r="B41" s="5"/>
      <c r="C41" s="5"/>
      <c r="D41" s="94"/>
      <c r="E41" s="6"/>
      <c r="F41" s="6"/>
      <c r="G41" s="95"/>
      <c r="H41" s="16"/>
      <c r="I41" s="12"/>
      <c r="J41" s="12"/>
      <c r="K41" s="16"/>
      <c r="L41" s="16"/>
      <c r="M41" s="6"/>
      <c r="N41" s="94"/>
      <c r="O41" s="6"/>
      <c r="P41" s="6"/>
      <c r="Q41" s="6"/>
    </row>
    <row r="42" spans="1:25" x14ac:dyDescent="0.3">
      <c r="A42" s="5"/>
      <c r="B42" s="5"/>
      <c r="C42" s="5"/>
      <c r="D42" s="94"/>
      <c r="E42" s="6"/>
      <c r="F42" s="6"/>
      <c r="G42" s="95"/>
      <c r="H42" s="16"/>
      <c r="I42" s="12"/>
      <c r="J42" s="12"/>
      <c r="K42" s="16"/>
      <c r="L42" s="16"/>
      <c r="M42" s="6"/>
      <c r="N42" s="94"/>
      <c r="O42" s="6"/>
      <c r="P42" s="6"/>
      <c r="Q42" s="6"/>
    </row>
    <row r="43" spans="1:25" x14ac:dyDescent="0.3">
      <c r="A43" s="5"/>
      <c r="B43" s="5"/>
      <c r="C43" s="5"/>
      <c r="D43" s="94"/>
      <c r="E43" s="6"/>
      <c r="F43" s="6"/>
      <c r="G43" s="95"/>
      <c r="H43" s="16"/>
      <c r="I43" s="12"/>
      <c r="J43" s="12"/>
      <c r="K43" s="16"/>
      <c r="L43" s="16"/>
      <c r="M43" s="6"/>
      <c r="N43" s="94"/>
      <c r="O43" s="6"/>
      <c r="P43" s="6"/>
      <c r="Q43" s="6"/>
    </row>
    <row r="44" spans="1:25" x14ac:dyDescent="0.3">
      <c r="A44" s="5"/>
      <c r="B44" s="5"/>
      <c r="C44" s="5"/>
      <c r="D44" s="94"/>
      <c r="E44" s="6"/>
      <c r="F44" s="6"/>
      <c r="G44" s="95"/>
      <c r="H44" s="16"/>
      <c r="I44" s="12"/>
      <c r="J44" s="12"/>
      <c r="K44" s="16"/>
      <c r="L44" s="16"/>
      <c r="M44" s="6"/>
      <c r="N44" s="94"/>
      <c r="O44" s="6"/>
      <c r="P44" s="6"/>
      <c r="Q44" s="6"/>
    </row>
    <row r="45" spans="1:25" x14ac:dyDescent="0.3">
      <c r="A45" s="5"/>
      <c r="B45" s="5"/>
      <c r="C45" s="5"/>
      <c r="D45" s="94"/>
      <c r="E45" s="6"/>
      <c r="F45" s="6"/>
      <c r="G45" s="95"/>
      <c r="H45" s="96"/>
      <c r="I45" s="12"/>
      <c r="J45" s="12"/>
      <c r="K45" s="16"/>
      <c r="L45" s="16"/>
      <c r="M45" s="6"/>
      <c r="N45" s="94"/>
      <c r="O45" s="6"/>
      <c r="P45" s="6"/>
      <c r="Q45" s="6"/>
    </row>
    <row r="46" spans="1:25" x14ac:dyDescent="0.3">
      <c r="A46" s="5"/>
      <c r="B46" s="5"/>
      <c r="C46" s="5"/>
      <c r="D46" s="94"/>
      <c r="E46" s="6"/>
      <c r="F46" s="6"/>
      <c r="G46" s="95"/>
      <c r="H46" s="96"/>
      <c r="I46" s="12"/>
      <c r="J46" s="12"/>
      <c r="K46" s="16"/>
      <c r="L46" s="16"/>
      <c r="M46" s="6"/>
      <c r="N46" s="94"/>
      <c r="O46" s="6"/>
      <c r="P46" s="6"/>
      <c r="Q46" s="6"/>
    </row>
    <row r="47" spans="1:25" x14ac:dyDescent="0.3">
      <c r="A47" s="5"/>
      <c r="B47" s="5"/>
      <c r="C47" s="5"/>
      <c r="D47" s="94"/>
      <c r="E47" s="6"/>
      <c r="F47" s="6"/>
      <c r="G47" s="95"/>
      <c r="H47" s="96"/>
      <c r="I47" s="12"/>
      <c r="J47" s="12"/>
      <c r="K47" s="16"/>
      <c r="L47" s="16"/>
      <c r="M47" s="6"/>
      <c r="N47" s="94"/>
      <c r="O47" s="6"/>
      <c r="P47" s="6"/>
      <c r="Q47" s="6"/>
    </row>
    <row r="48" spans="1:25" x14ac:dyDescent="0.3">
      <c r="A48" s="5"/>
      <c r="B48" s="5"/>
      <c r="C48" s="5"/>
      <c r="D48" s="94"/>
      <c r="E48" s="6"/>
      <c r="F48" s="6"/>
      <c r="G48" s="95"/>
      <c r="H48" s="96"/>
      <c r="I48" s="12"/>
      <c r="J48" s="12"/>
      <c r="K48" s="16"/>
      <c r="L48" s="16"/>
      <c r="M48" s="6"/>
      <c r="N48" s="94"/>
      <c r="O48" s="6"/>
      <c r="P48" s="6"/>
      <c r="Q48" s="6"/>
    </row>
    <row r="49" spans="1:17" x14ac:dyDescent="0.3">
      <c r="A49" s="5"/>
      <c r="B49" s="5"/>
      <c r="C49" s="5"/>
      <c r="D49" s="94"/>
      <c r="E49" s="6"/>
      <c r="F49" s="6"/>
      <c r="G49" s="95"/>
      <c r="H49" s="96"/>
      <c r="I49" s="12"/>
      <c r="J49" s="12"/>
      <c r="K49" s="16"/>
      <c r="L49" s="16"/>
      <c r="M49" s="6"/>
      <c r="N49" s="94"/>
      <c r="O49" s="6"/>
      <c r="P49" s="6"/>
      <c r="Q49" s="6"/>
    </row>
    <row r="50" spans="1:17" x14ac:dyDescent="0.3">
      <c r="A50" s="5"/>
      <c r="B50" s="5"/>
      <c r="C50" s="5"/>
      <c r="D50" s="94"/>
      <c r="E50" s="6"/>
      <c r="F50" s="6"/>
      <c r="G50" s="95"/>
      <c r="H50" s="96"/>
      <c r="I50" s="12"/>
      <c r="J50" s="12"/>
      <c r="K50" s="16"/>
      <c r="L50" s="16"/>
      <c r="M50" s="6"/>
      <c r="N50" s="94"/>
      <c r="O50" s="6"/>
      <c r="P50" s="6"/>
      <c r="Q50" s="6"/>
    </row>
    <row r="51" spans="1:17" x14ac:dyDescent="0.3">
      <c r="A51" s="5"/>
      <c r="B51" s="5"/>
      <c r="C51" s="5"/>
      <c r="D51" s="94"/>
      <c r="E51" s="6"/>
      <c r="F51" s="6"/>
      <c r="G51" s="95"/>
      <c r="H51" s="96"/>
      <c r="I51" s="12"/>
      <c r="J51" s="12"/>
      <c r="K51" s="16"/>
      <c r="L51" s="16"/>
      <c r="M51" s="6"/>
      <c r="N51" s="94"/>
      <c r="O51" s="6"/>
      <c r="P51" s="6"/>
      <c r="Q51" s="6"/>
    </row>
    <row r="52" spans="1:17" x14ac:dyDescent="0.3">
      <c r="A52" s="5"/>
      <c r="B52" s="5"/>
      <c r="C52" s="5"/>
      <c r="D52" s="94"/>
      <c r="E52" s="6"/>
      <c r="F52" s="6"/>
      <c r="G52" s="95"/>
      <c r="H52" s="96"/>
      <c r="I52" s="12"/>
      <c r="J52" s="12"/>
      <c r="K52" s="16"/>
      <c r="L52" s="16"/>
      <c r="M52" s="6"/>
      <c r="N52" s="94"/>
      <c r="O52" s="6"/>
      <c r="P52" s="6"/>
      <c r="Q52" s="6"/>
    </row>
    <row r="53" spans="1:17" x14ac:dyDescent="0.3">
      <c r="A53" s="5"/>
      <c r="B53" s="5"/>
      <c r="C53" s="5"/>
      <c r="D53" s="94"/>
      <c r="E53" s="6"/>
      <c r="F53" s="6"/>
      <c r="G53" s="95"/>
      <c r="H53" s="96"/>
      <c r="I53" s="12"/>
      <c r="J53" s="12"/>
      <c r="K53" s="16"/>
      <c r="L53" s="16"/>
      <c r="M53" s="6"/>
      <c r="N53" s="94"/>
      <c r="O53" s="6"/>
      <c r="P53" s="6"/>
      <c r="Q53" s="6"/>
    </row>
    <row r="54" spans="1:17" x14ac:dyDescent="0.3">
      <c r="A54" s="5"/>
      <c r="B54" s="5"/>
      <c r="C54" s="5"/>
      <c r="D54" s="94"/>
      <c r="E54" s="6"/>
      <c r="F54" s="6"/>
      <c r="G54" s="95"/>
      <c r="H54" s="96"/>
      <c r="I54" s="12"/>
      <c r="J54" s="12"/>
      <c r="K54" s="16"/>
      <c r="L54" s="16"/>
      <c r="M54" s="6"/>
      <c r="N54" s="94"/>
      <c r="O54" s="6"/>
      <c r="P54" s="6"/>
      <c r="Q54" s="6"/>
    </row>
    <row r="55" spans="1:17" x14ac:dyDescent="0.3">
      <c r="A55" s="5"/>
      <c r="B55" s="5"/>
      <c r="C55" s="5"/>
      <c r="D55" s="94"/>
      <c r="E55" s="6"/>
      <c r="F55" s="6"/>
      <c r="G55" s="95"/>
      <c r="H55" s="96"/>
      <c r="I55" s="12"/>
      <c r="J55" s="12"/>
      <c r="K55" s="16"/>
      <c r="L55" s="16"/>
      <c r="M55" s="6"/>
      <c r="N55" s="94"/>
      <c r="O55" s="6"/>
      <c r="P55" s="6"/>
      <c r="Q55" s="6"/>
    </row>
    <row r="56" spans="1:17" x14ac:dyDescent="0.3">
      <c r="A56" s="5"/>
      <c r="B56" s="5"/>
      <c r="C56" s="5"/>
      <c r="D56" s="94"/>
      <c r="E56" s="6"/>
      <c r="F56" s="6"/>
      <c r="G56" s="95"/>
      <c r="H56" s="96"/>
      <c r="I56" s="12"/>
      <c r="J56" s="12"/>
      <c r="K56" s="16"/>
      <c r="L56" s="16"/>
      <c r="M56" s="6"/>
      <c r="N56" s="94"/>
      <c r="O56" s="6"/>
      <c r="P56" s="6"/>
      <c r="Q56" s="6"/>
    </row>
    <row r="57" spans="1:17" x14ac:dyDescent="0.3">
      <c r="A57" s="5"/>
      <c r="B57" s="5"/>
      <c r="C57" s="5"/>
      <c r="D57" s="94"/>
      <c r="E57" s="6"/>
      <c r="F57" s="6"/>
      <c r="G57" s="95"/>
      <c r="H57" s="96"/>
      <c r="I57" s="12"/>
      <c r="J57" s="12"/>
      <c r="K57" s="16"/>
      <c r="L57" s="16"/>
      <c r="M57" s="6"/>
      <c r="N57" s="94"/>
      <c r="O57" s="6"/>
      <c r="P57" s="6"/>
      <c r="Q57" s="6"/>
    </row>
    <row r="58" spans="1:17" x14ac:dyDescent="0.3">
      <c r="A58" s="5"/>
      <c r="B58" s="5"/>
      <c r="C58" s="5"/>
      <c r="D58" s="94"/>
      <c r="E58" s="6"/>
      <c r="F58" s="6"/>
      <c r="G58" s="95"/>
      <c r="H58" s="96"/>
      <c r="I58" s="12"/>
      <c r="J58" s="12"/>
      <c r="K58" s="16"/>
      <c r="L58" s="16"/>
      <c r="M58" s="6"/>
      <c r="N58" s="94"/>
      <c r="O58" s="6"/>
      <c r="P58" s="6"/>
      <c r="Q58" s="6"/>
    </row>
    <row r="59" spans="1:17" x14ac:dyDescent="0.3">
      <c r="A59" s="5"/>
      <c r="B59" s="5"/>
      <c r="C59" s="5"/>
      <c r="D59" s="94"/>
      <c r="E59" s="6"/>
      <c r="F59" s="6"/>
      <c r="G59" s="95"/>
      <c r="H59" s="96"/>
      <c r="I59" s="12"/>
      <c r="J59" s="12"/>
      <c r="K59" s="16"/>
      <c r="L59" s="16"/>
      <c r="M59" s="6"/>
      <c r="N59" s="94"/>
      <c r="O59" s="6"/>
      <c r="P59" s="6"/>
      <c r="Q59" s="6"/>
    </row>
    <row r="60" spans="1:17" x14ac:dyDescent="0.3">
      <c r="A60" s="5"/>
      <c r="B60" s="5"/>
      <c r="C60" s="5"/>
      <c r="D60" s="94"/>
      <c r="E60" s="6"/>
      <c r="F60" s="6"/>
      <c r="G60" s="95"/>
      <c r="H60" s="96"/>
      <c r="I60" s="12"/>
      <c r="J60" s="12"/>
      <c r="K60" s="16"/>
      <c r="L60" s="16"/>
      <c r="M60" s="6"/>
      <c r="N60" s="94"/>
      <c r="O60" s="6"/>
      <c r="P60" s="6"/>
      <c r="Q60" s="6"/>
    </row>
    <row r="61" spans="1:17" x14ac:dyDescent="0.3">
      <c r="A61" s="5"/>
      <c r="B61" s="5"/>
      <c r="C61" s="5"/>
      <c r="D61" s="94"/>
      <c r="E61" s="6"/>
      <c r="F61" s="6"/>
      <c r="G61" s="95"/>
      <c r="H61" s="96"/>
      <c r="I61" s="12"/>
      <c r="J61" s="12"/>
      <c r="K61" s="16"/>
      <c r="L61" s="16"/>
      <c r="M61" s="6"/>
      <c r="N61" s="94"/>
      <c r="O61" s="6"/>
      <c r="P61" s="6"/>
      <c r="Q61" s="6"/>
    </row>
    <row r="62" spans="1:17" x14ac:dyDescent="0.3">
      <c r="A62" s="5"/>
      <c r="B62" s="5"/>
      <c r="C62" s="5"/>
      <c r="D62" s="94"/>
      <c r="E62" s="6"/>
      <c r="F62" s="6"/>
      <c r="G62" s="95"/>
      <c r="H62" s="96"/>
      <c r="I62" s="12"/>
      <c r="J62" s="12"/>
      <c r="K62" s="16"/>
      <c r="L62" s="16"/>
      <c r="M62" s="6"/>
      <c r="N62" s="94"/>
      <c r="O62" s="6"/>
      <c r="P62" s="6"/>
      <c r="Q62" s="6"/>
    </row>
    <row r="63" spans="1:17" x14ac:dyDescent="0.3">
      <c r="A63" s="5"/>
      <c r="B63" s="5"/>
      <c r="C63" s="5"/>
      <c r="D63" s="94"/>
      <c r="E63" s="6"/>
      <c r="F63" s="6"/>
      <c r="G63" s="95"/>
      <c r="H63" s="96"/>
      <c r="I63" s="12"/>
      <c r="J63" s="12"/>
      <c r="K63" s="16"/>
      <c r="L63" s="16"/>
      <c r="M63" s="6"/>
      <c r="N63" s="94"/>
      <c r="O63" s="6"/>
      <c r="P63" s="6"/>
      <c r="Q63" s="6"/>
    </row>
    <row r="64" spans="1:17" x14ac:dyDescent="0.3">
      <c r="A64" s="5"/>
      <c r="B64" s="5"/>
      <c r="C64" s="5"/>
      <c r="D64" s="94"/>
      <c r="E64" s="6"/>
      <c r="F64" s="6"/>
      <c r="G64" s="95"/>
      <c r="H64" s="96"/>
      <c r="I64" s="12"/>
      <c r="J64" s="12"/>
      <c r="K64" s="16"/>
      <c r="L64" s="16"/>
      <c r="M64" s="6"/>
      <c r="N64" s="94"/>
      <c r="O64" s="6"/>
      <c r="P64" s="6"/>
      <c r="Q64" s="6"/>
    </row>
    <row r="65" spans="1:17" x14ac:dyDescent="0.3">
      <c r="A65" s="5"/>
      <c r="B65" s="5"/>
      <c r="C65" s="5"/>
      <c r="D65" s="94"/>
      <c r="E65" s="6"/>
      <c r="F65" s="6"/>
      <c r="G65" s="95"/>
      <c r="H65" s="96"/>
      <c r="I65" s="12"/>
      <c r="J65" s="12"/>
      <c r="K65" s="16"/>
      <c r="L65" s="16"/>
      <c r="M65" s="6"/>
      <c r="N65" s="94"/>
      <c r="O65" s="6"/>
      <c r="P65" s="6"/>
      <c r="Q65" s="6"/>
    </row>
    <row r="66" spans="1:17" x14ac:dyDescent="0.3">
      <c r="A66" s="5"/>
      <c r="B66" s="5"/>
      <c r="C66" s="5"/>
      <c r="D66" s="94"/>
      <c r="E66" s="6"/>
      <c r="F66" s="6"/>
      <c r="G66" s="95"/>
      <c r="H66" s="96"/>
      <c r="I66" s="12"/>
      <c r="J66" s="12"/>
      <c r="K66" s="16"/>
      <c r="L66" s="16"/>
      <c r="M66" s="6"/>
      <c r="N66" s="94"/>
      <c r="O66" s="6"/>
      <c r="P66" s="6"/>
      <c r="Q66" s="6"/>
    </row>
    <row r="67" spans="1:17" x14ac:dyDescent="0.3">
      <c r="A67" s="5"/>
      <c r="B67" s="5"/>
      <c r="C67" s="5"/>
      <c r="D67" s="94"/>
      <c r="E67" s="6"/>
      <c r="F67" s="6"/>
      <c r="G67" s="95"/>
      <c r="H67" s="96"/>
      <c r="I67" s="12"/>
      <c r="J67" s="12"/>
      <c r="K67" s="16"/>
      <c r="L67" s="16"/>
      <c r="M67" s="6"/>
      <c r="N67" s="94"/>
      <c r="O67" s="6"/>
      <c r="P67" s="6"/>
      <c r="Q67" s="6"/>
    </row>
    <row r="68" spans="1:17" x14ac:dyDescent="0.3">
      <c r="A68" s="5"/>
      <c r="B68" s="5"/>
      <c r="C68" s="5"/>
      <c r="D68" s="94"/>
      <c r="E68" s="5"/>
      <c r="F68" s="5"/>
      <c r="G68" s="95"/>
      <c r="I68" s="5"/>
      <c r="J68" s="5"/>
      <c r="K68" s="5"/>
      <c r="L68" s="5"/>
      <c r="M68" s="5"/>
      <c r="O68" s="5"/>
      <c r="P68" s="5"/>
      <c r="Q68" s="5"/>
    </row>
    <row r="69" spans="1:17" ht="18" x14ac:dyDescent="0.35">
      <c r="A69" s="8"/>
      <c r="B69" s="8"/>
      <c r="C69" s="5"/>
      <c r="E69" s="5"/>
      <c r="F69" s="5"/>
      <c r="G69" s="95"/>
      <c r="I69" s="5"/>
      <c r="J69" s="5"/>
      <c r="K69" s="5"/>
      <c r="L69" s="5"/>
      <c r="M69" s="5"/>
      <c r="O69" s="5"/>
      <c r="P69" s="5"/>
      <c r="Q69" s="5"/>
    </row>
    <row r="70" spans="1:17" x14ac:dyDescent="0.3">
      <c r="A70" s="9"/>
      <c r="B70" s="9"/>
      <c r="C70" s="9"/>
      <c r="E70" s="9"/>
      <c r="F70" s="9"/>
      <c r="G70" s="95"/>
      <c r="H70" s="97"/>
      <c r="I70" s="11"/>
      <c r="J70" s="11"/>
      <c r="K70" s="9"/>
      <c r="L70" s="9"/>
      <c r="M70" s="9"/>
      <c r="N70" s="93"/>
      <c r="O70" s="9"/>
      <c r="P70" s="10"/>
      <c r="Q70" s="10"/>
    </row>
    <row r="71" spans="1:17" x14ac:dyDescent="0.3">
      <c r="A71" s="9"/>
      <c r="B71" s="9"/>
      <c r="C71" s="5"/>
      <c r="D71" s="93"/>
      <c r="E71" s="6"/>
      <c r="F71" s="12"/>
      <c r="H71" s="96"/>
      <c r="I71" s="12"/>
      <c r="J71" s="12"/>
      <c r="K71" s="16"/>
      <c r="L71" s="16"/>
      <c r="M71" s="6"/>
      <c r="N71" s="94"/>
      <c r="O71" s="6"/>
      <c r="P71" s="6"/>
      <c r="Q71" s="6"/>
    </row>
    <row r="72" spans="1:17" x14ac:dyDescent="0.3">
      <c r="A72" s="5"/>
      <c r="B72" s="5"/>
      <c r="C72" s="5"/>
      <c r="D72" s="94"/>
      <c r="E72" s="6"/>
      <c r="F72" s="6"/>
      <c r="G72" s="96"/>
      <c r="H72" s="96"/>
      <c r="I72" s="12"/>
      <c r="J72" s="12"/>
      <c r="K72" s="16"/>
      <c r="L72" s="16"/>
      <c r="M72" s="6"/>
      <c r="N72" s="94"/>
      <c r="O72" s="6"/>
      <c r="P72" s="6"/>
      <c r="Q72" s="6"/>
    </row>
    <row r="73" spans="1:17" x14ac:dyDescent="0.3">
      <c r="A73" s="5"/>
      <c r="B73" s="5"/>
      <c r="C73" s="5"/>
      <c r="D73" s="94"/>
      <c r="E73" s="6"/>
      <c r="F73" s="6"/>
      <c r="G73" s="96"/>
      <c r="H73" s="96"/>
      <c r="I73" s="12"/>
      <c r="J73" s="12"/>
      <c r="K73" s="16"/>
      <c r="L73" s="16"/>
      <c r="M73" s="6"/>
      <c r="N73" s="94"/>
      <c r="O73" s="6"/>
      <c r="P73" s="6"/>
      <c r="Q73" s="6"/>
    </row>
    <row r="74" spans="1:17" x14ac:dyDescent="0.3">
      <c r="A74" s="5"/>
      <c r="B74" s="5"/>
      <c r="C74" s="5"/>
      <c r="D74" s="94"/>
      <c r="E74" s="6"/>
      <c r="F74" s="6"/>
      <c r="G74" s="96"/>
      <c r="H74" s="96"/>
      <c r="I74" s="12"/>
      <c r="J74" s="12"/>
      <c r="K74" s="16"/>
      <c r="L74" s="16"/>
      <c r="M74" s="6"/>
      <c r="N74" s="94"/>
      <c r="O74" s="6"/>
      <c r="P74" s="6"/>
      <c r="Q74" s="6"/>
    </row>
    <row r="75" spans="1:17" x14ac:dyDescent="0.3">
      <c r="A75" s="5"/>
      <c r="B75" s="5"/>
      <c r="C75" s="5"/>
      <c r="D75" s="94"/>
      <c r="E75" s="6"/>
      <c r="F75" s="6"/>
      <c r="G75" s="96"/>
      <c r="H75" s="96"/>
      <c r="I75" s="12"/>
      <c r="J75" s="12"/>
      <c r="K75" s="16"/>
      <c r="L75" s="16"/>
      <c r="M75" s="6"/>
      <c r="N75" s="94"/>
      <c r="O75" s="6"/>
      <c r="P75" s="6"/>
      <c r="Q75" s="6"/>
    </row>
    <row r="76" spans="1:17" x14ac:dyDescent="0.3">
      <c r="A76" s="5"/>
      <c r="B76" s="5"/>
      <c r="C76" s="5"/>
      <c r="D76" s="94"/>
      <c r="E76" s="6"/>
      <c r="F76" s="6"/>
      <c r="G76" s="96"/>
      <c r="H76" s="96"/>
      <c r="I76" s="12"/>
      <c r="J76" s="12"/>
      <c r="K76" s="16"/>
      <c r="L76" s="16"/>
      <c r="M76" s="6"/>
      <c r="N76" s="94"/>
      <c r="O76" s="6"/>
      <c r="P76" s="6"/>
      <c r="Q76" s="6"/>
    </row>
    <row r="77" spans="1:17" x14ac:dyDescent="0.3">
      <c r="A77" s="5"/>
      <c r="B77" s="5"/>
      <c r="C77" s="5"/>
      <c r="D77" s="94"/>
      <c r="E77" s="6"/>
      <c r="F77" s="6"/>
      <c r="G77" s="96"/>
      <c r="H77" s="96"/>
      <c r="I77" s="12"/>
      <c r="J77" s="12"/>
      <c r="K77" s="16"/>
      <c r="L77" s="16"/>
      <c r="M77" s="6"/>
      <c r="N77" s="94"/>
      <c r="O77" s="6"/>
      <c r="P77" s="6"/>
      <c r="Q77" s="6"/>
    </row>
    <row r="78" spans="1:17" x14ac:dyDescent="0.3">
      <c r="A78" s="5"/>
      <c r="B78" s="5"/>
      <c r="C78" s="5"/>
      <c r="D78" s="94"/>
      <c r="E78" s="6"/>
      <c r="F78" s="6"/>
      <c r="G78" s="96"/>
      <c r="H78" s="96"/>
      <c r="I78" s="12"/>
      <c r="J78" s="12"/>
      <c r="K78" s="16"/>
      <c r="L78" s="16"/>
      <c r="M78" s="6"/>
      <c r="N78" s="94"/>
      <c r="O78" s="6"/>
      <c r="P78" s="6"/>
      <c r="Q78" s="6"/>
    </row>
    <row r="79" spans="1:17" x14ac:dyDescent="0.3">
      <c r="A79" s="5"/>
      <c r="B79" s="5"/>
      <c r="C79" s="5"/>
      <c r="D79" s="94"/>
      <c r="E79" s="6"/>
      <c r="F79" s="6"/>
      <c r="G79" s="96"/>
      <c r="H79" s="96"/>
      <c r="I79" s="12"/>
      <c r="J79" s="12"/>
      <c r="K79" s="16"/>
      <c r="L79" s="16"/>
      <c r="M79" s="6"/>
      <c r="N79" s="94"/>
      <c r="O79" s="6"/>
      <c r="P79" s="6"/>
      <c r="Q79" s="6"/>
    </row>
    <row r="80" spans="1:17" x14ac:dyDescent="0.3">
      <c r="A80" s="5"/>
      <c r="B80" s="5"/>
      <c r="C80" s="5"/>
      <c r="D80" s="94"/>
      <c r="E80" s="6"/>
      <c r="F80" s="6"/>
      <c r="G80" s="96"/>
      <c r="H80" s="96"/>
      <c r="I80" s="12"/>
      <c r="J80" s="12"/>
      <c r="K80" s="16"/>
      <c r="L80" s="16"/>
      <c r="M80" s="6"/>
      <c r="N80" s="94"/>
      <c r="O80" s="6"/>
      <c r="P80" s="6"/>
      <c r="Q80" s="6"/>
    </row>
    <row r="81" spans="1:17" x14ac:dyDescent="0.3">
      <c r="A81" s="5"/>
      <c r="B81" s="5"/>
      <c r="C81" s="5"/>
      <c r="D81" s="94"/>
      <c r="E81" s="6"/>
      <c r="F81" s="6"/>
      <c r="G81" s="96"/>
      <c r="H81" s="96"/>
      <c r="I81" s="12"/>
      <c r="J81" s="12"/>
      <c r="K81" s="16"/>
      <c r="L81" s="16"/>
      <c r="M81" s="6"/>
      <c r="N81" s="94"/>
      <c r="O81" s="6"/>
      <c r="P81" s="6"/>
      <c r="Q81" s="6"/>
    </row>
    <row r="82" spans="1:17" x14ac:dyDescent="0.3">
      <c r="A82" s="5"/>
      <c r="B82" s="5"/>
      <c r="C82" s="5"/>
      <c r="D82" s="94"/>
      <c r="E82" s="6"/>
      <c r="F82" s="6"/>
      <c r="G82" s="96"/>
      <c r="H82" s="96"/>
      <c r="I82" s="12"/>
      <c r="J82" s="12"/>
      <c r="K82" s="16"/>
      <c r="L82" s="16"/>
      <c r="M82" s="6"/>
      <c r="N82" s="94"/>
      <c r="O82" s="6"/>
      <c r="P82" s="6"/>
      <c r="Q82" s="6"/>
    </row>
    <row r="83" spans="1:17" x14ac:dyDescent="0.3">
      <c r="A83" s="5"/>
      <c r="B83" s="5"/>
      <c r="C83" s="5"/>
      <c r="D83" s="94"/>
      <c r="E83" s="6"/>
      <c r="F83" s="6"/>
      <c r="G83" s="96"/>
      <c r="H83" s="96"/>
      <c r="I83" s="12"/>
      <c r="J83" s="12"/>
      <c r="K83" s="16"/>
      <c r="L83" s="16"/>
      <c r="M83" s="6"/>
      <c r="N83" s="94"/>
      <c r="O83" s="6"/>
      <c r="P83" s="6"/>
      <c r="Q83" s="6"/>
    </row>
    <row r="84" spans="1:17" x14ac:dyDescent="0.3">
      <c r="A84" s="5"/>
      <c r="B84" s="5"/>
      <c r="C84" s="5"/>
      <c r="D84" s="94"/>
      <c r="E84" s="6"/>
      <c r="F84" s="6"/>
      <c r="G84" s="96"/>
      <c r="H84" s="96"/>
      <c r="I84" s="12"/>
      <c r="J84" s="12"/>
      <c r="K84" s="16"/>
      <c r="L84" s="16"/>
      <c r="M84" s="6"/>
      <c r="N84" s="94"/>
      <c r="O84" s="6"/>
      <c r="P84" s="6"/>
      <c r="Q84" s="6"/>
    </row>
    <row r="85" spans="1:17" x14ac:dyDescent="0.3">
      <c r="A85" s="5"/>
      <c r="B85" s="5"/>
      <c r="C85" s="5"/>
      <c r="D85" s="94"/>
      <c r="E85" s="6"/>
      <c r="F85" s="6"/>
      <c r="G85" s="96"/>
      <c r="H85" s="96"/>
      <c r="I85" s="12"/>
      <c r="J85" s="12"/>
      <c r="K85" s="16"/>
      <c r="L85" s="16"/>
      <c r="M85" s="6"/>
      <c r="N85" s="94"/>
      <c r="O85" s="6"/>
      <c r="P85" s="6"/>
      <c r="Q85" s="6"/>
    </row>
    <row r="86" spans="1:17" x14ac:dyDescent="0.3">
      <c r="A86" s="5"/>
      <c r="B86" s="5"/>
      <c r="C86" s="5"/>
      <c r="D86" s="94"/>
      <c r="E86" s="6"/>
      <c r="F86" s="6"/>
      <c r="G86" s="96"/>
      <c r="H86" s="96"/>
      <c r="I86" s="12"/>
      <c r="J86" s="12"/>
      <c r="K86" s="16"/>
      <c r="L86" s="16"/>
      <c r="M86" s="6"/>
      <c r="N86" s="94"/>
      <c r="O86" s="6"/>
      <c r="P86" s="6"/>
      <c r="Q86" s="6"/>
    </row>
    <row r="87" spans="1:17" x14ac:dyDescent="0.3">
      <c r="A87" s="5"/>
      <c r="B87" s="5"/>
      <c r="C87" s="5"/>
      <c r="D87" s="94"/>
      <c r="E87" s="6"/>
      <c r="F87" s="6"/>
      <c r="G87" s="96"/>
      <c r="H87" s="96"/>
      <c r="I87" s="12"/>
      <c r="J87" s="12"/>
      <c r="K87" s="16"/>
      <c r="L87" s="16"/>
      <c r="M87" s="6"/>
      <c r="N87" s="94"/>
      <c r="O87" s="6"/>
      <c r="P87" s="6"/>
      <c r="Q87" s="6"/>
    </row>
    <row r="88" spans="1:17" x14ac:dyDescent="0.3">
      <c r="A88" s="5"/>
      <c r="B88" s="5"/>
      <c r="C88" s="5"/>
      <c r="D88" s="94"/>
      <c r="E88" s="6"/>
      <c r="F88" s="6"/>
      <c r="G88" s="96"/>
      <c r="H88" s="96"/>
      <c r="I88" s="12"/>
      <c r="J88" s="12"/>
      <c r="K88" s="16"/>
      <c r="L88" s="16"/>
      <c r="M88" s="6"/>
      <c r="N88" s="94"/>
      <c r="O88" s="6"/>
      <c r="P88" s="6"/>
      <c r="Q88" s="6"/>
    </row>
    <row r="89" spans="1:17" x14ac:dyDescent="0.3">
      <c r="A89" s="5"/>
      <c r="B89" s="5"/>
      <c r="C89" s="5"/>
      <c r="D89" s="94"/>
      <c r="E89" s="6"/>
      <c r="F89" s="6"/>
      <c r="G89" s="96"/>
      <c r="H89" s="96"/>
      <c r="I89" s="12"/>
      <c r="J89" s="12"/>
      <c r="K89" s="16"/>
      <c r="L89" s="16"/>
      <c r="M89" s="6"/>
      <c r="N89" s="94"/>
      <c r="O89" s="6"/>
      <c r="P89" s="6"/>
      <c r="Q89" s="6"/>
    </row>
    <row r="90" spans="1:17" x14ac:dyDescent="0.3">
      <c r="A90" s="5"/>
      <c r="B90" s="5"/>
      <c r="C90" s="5"/>
      <c r="D90" s="94"/>
      <c r="E90" s="6"/>
      <c r="F90" s="6"/>
      <c r="G90" s="96"/>
      <c r="H90" s="96"/>
      <c r="I90" s="12"/>
      <c r="J90" s="12"/>
      <c r="K90" s="16"/>
      <c r="L90" s="16"/>
      <c r="M90" s="6"/>
      <c r="N90" s="94"/>
      <c r="O90" s="6"/>
      <c r="P90" s="6"/>
      <c r="Q90" s="6"/>
    </row>
    <row r="91" spans="1:17" x14ac:dyDescent="0.3">
      <c r="A91" s="5"/>
      <c r="B91" s="5"/>
      <c r="C91" s="5"/>
      <c r="D91" s="94"/>
      <c r="E91" s="6"/>
      <c r="F91" s="6"/>
      <c r="G91" s="96"/>
      <c r="H91" s="96"/>
      <c r="I91" s="12"/>
      <c r="J91" s="12"/>
      <c r="K91" s="16"/>
      <c r="L91" s="16"/>
      <c r="M91" s="6"/>
      <c r="N91" s="94"/>
      <c r="O91" s="6"/>
      <c r="P91" s="6"/>
      <c r="Q91" s="6"/>
    </row>
    <row r="92" spans="1:17" x14ac:dyDescent="0.3">
      <c r="A92" s="5"/>
      <c r="B92" s="5"/>
      <c r="C92" s="5"/>
      <c r="D92" s="94"/>
      <c r="E92" s="6"/>
      <c r="F92" s="6"/>
      <c r="G92" s="96"/>
      <c r="H92" s="96"/>
      <c r="I92" s="12"/>
      <c r="J92" s="12"/>
      <c r="K92" s="16"/>
      <c r="L92" s="16"/>
      <c r="M92" s="6"/>
      <c r="N92" s="94"/>
      <c r="O92" s="6"/>
      <c r="P92" s="6"/>
      <c r="Q92" s="6"/>
    </row>
    <row r="93" spans="1:17" x14ac:dyDescent="0.3">
      <c r="A93" s="5"/>
      <c r="B93" s="5"/>
      <c r="C93" s="5"/>
      <c r="D93" s="94"/>
      <c r="E93" s="6"/>
      <c r="F93" s="6"/>
      <c r="G93" s="96"/>
      <c r="H93" s="96"/>
      <c r="I93" s="12"/>
      <c r="J93" s="12"/>
      <c r="K93" s="16"/>
      <c r="L93" s="16"/>
      <c r="M93" s="6"/>
      <c r="N93" s="94"/>
      <c r="O93" s="6"/>
      <c r="P93" s="6"/>
      <c r="Q93" s="6"/>
    </row>
    <row r="94" spans="1:17" x14ac:dyDescent="0.3">
      <c r="A94" s="5"/>
      <c r="B94" s="5"/>
      <c r="C94" s="5"/>
      <c r="D94" s="94"/>
      <c r="E94" s="6"/>
      <c r="F94" s="6"/>
      <c r="G94" s="96"/>
      <c r="H94" s="96"/>
      <c r="I94" s="12"/>
      <c r="J94" s="12"/>
      <c r="K94" s="16"/>
      <c r="L94" s="16"/>
      <c r="M94" s="6"/>
      <c r="N94" s="94"/>
      <c r="O94" s="6"/>
      <c r="P94" s="6"/>
      <c r="Q94" s="6"/>
    </row>
    <row r="95" spans="1:17" x14ac:dyDescent="0.3">
      <c r="A95" s="5"/>
      <c r="B95" s="5"/>
      <c r="C95" s="5"/>
      <c r="D95" s="94"/>
      <c r="E95" s="6"/>
      <c r="F95" s="6"/>
      <c r="G95" s="96"/>
      <c r="H95" s="96"/>
      <c r="I95" s="12"/>
      <c r="J95" s="12"/>
      <c r="K95" s="16"/>
      <c r="L95" s="16"/>
      <c r="M95" s="6"/>
      <c r="N95" s="94"/>
      <c r="O95" s="6"/>
      <c r="P95" s="6"/>
      <c r="Q95" s="6"/>
    </row>
    <row r="96" spans="1:17" x14ac:dyDescent="0.3">
      <c r="A96" s="5"/>
      <c r="B96" s="5"/>
      <c r="C96" s="5"/>
      <c r="D96" s="94"/>
      <c r="E96" s="6"/>
      <c r="F96" s="6"/>
      <c r="G96" s="96"/>
      <c r="H96" s="96"/>
      <c r="I96" s="12"/>
      <c r="J96" s="12"/>
      <c r="K96" s="16"/>
      <c r="L96" s="16"/>
      <c r="M96" s="6"/>
      <c r="N96" s="94"/>
      <c r="O96" s="6"/>
      <c r="P96" s="6"/>
      <c r="Q96" s="6"/>
    </row>
    <row r="97" spans="1:17" x14ac:dyDescent="0.3">
      <c r="A97" s="5"/>
      <c r="B97" s="5"/>
      <c r="C97" s="5"/>
      <c r="D97" s="94"/>
      <c r="E97" s="6"/>
      <c r="F97" s="6"/>
      <c r="G97" s="96"/>
      <c r="H97" s="96"/>
      <c r="I97" s="12"/>
      <c r="J97" s="12"/>
      <c r="K97" s="16"/>
      <c r="L97" s="16"/>
      <c r="M97" s="6"/>
      <c r="N97" s="94"/>
      <c r="O97" s="6"/>
      <c r="P97" s="6"/>
      <c r="Q97" s="6"/>
    </row>
    <row r="98" spans="1:17" x14ac:dyDescent="0.3">
      <c r="A98" s="5"/>
      <c r="B98" s="5"/>
      <c r="C98" s="5"/>
      <c r="D98" s="94"/>
      <c r="E98" s="6"/>
      <c r="F98" s="6"/>
      <c r="G98" s="96"/>
      <c r="H98" s="96"/>
      <c r="I98" s="12"/>
      <c r="J98" s="12"/>
      <c r="K98" s="16"/>
      <c r="L98" s="16"/>
      <c r="M98" s="6"/>
      <c r="N98" s="94"/>
      <c r="O98" s="6"/>
      <c r="P98" s="6"/>
      <c r="Q98" s="6"/>
    </row>
    <row r="99" spans="1:17" x14ac:dyDescent="0.3">
      <c r="A99" s="5"/>
      <c r="B99" s="5"/>
      <c r="C99" s="5"/>
      <c r="D99" s="94"/>
      <c r="E99" s="6"/>
      <c r="F99" s="6"/>
      <c r="G99" s="96"/>
      <c r="H99" s="96"/>
      <c r="I99" s="12"/>
      <c r="J99" s="12"/>
      <c r="K99" s="16"/>
      <c r="L99" s="16"/>
      <c r="M99" s="6"/>
      <c r="N99" s="94"/>
      <c r="O99" s="6"/>
      <c r="P99" s="6"/>
      <c r="Q99" s="6"/>
    </row>
    <row r="100" spans="1:17" x14ac:dyDescent="0.3">
      <c r="A100" s="5"/>
      <c r="B100" s="5"/>
      <c r="C100" s="5"/>
      <c r="D100" s="94"/>
      <c r="E100" s="6"/>
      <c r="F100" s="6"/>
      <c r="G100" s="96"/>
      <c r="H100" s="96"/>
      <c r="I100" s="12"/>
      <c r="J100" s="12"/>
      <c r="K100" s="16"/>
      <c r="L100" s="16"/>
      <c r="M100" s="6"/>
      <c r="N100" s="94"/>
      <c r="O100" s="6"/>
      <c r="P100" s="6"/>
      <c r="Q100" s="6"/>
    </row>
    <row r="101" spans="1:17" x14ac:dyDescent="0.3">
      <c r="A101" s="5"/>
      <c r="B101" s="5"/>
      <c r="C101" s="5"/>
      <c r="D101" s="94"/>
      <c r="E101" s="6"/>
      <c r="F101" s="6"/>
      <c r="G101" s="96"/>
      <c r="H101" s="96"/>
      <c r="I101" s="12"/>
      <c r="J101" s="12"/>
      <c r="K101" s="16"/>
      <c r="L101" s="16"/>
      <c r="M101" s="6"/>
      <c r="N101" s="94"/>
      <c r="O101" s="6"/>
      <c r="P101" s="6"/>
      <c r="Q101" s="6"/>
    </row>
    <row r="102" spans="1:17" x14ac:dyDescent="0.3">
      <c r="A102" s="5"/>
      <c r="B102" s="5"/>
      <c r="C102" s="5"/>
      <c r="D102" s="94"/>
      <c r="E102" s="5"/>
      <c r="F102" s="5"/>
      <c r="I102" s="5"/>
      <c r="J102" s="5"/>
      <c r="K102" s="5"/>
      <c r="L102" s="5"/>
      <c r="M102" s="5"/>
      <c r="O102" s="5"/>
      <c r="P102" s="5"/>
      <c r="Q102" s="5"/>
    </row>
    <row r="103" spans="1:17" x14ac:dyDescent="0.3">
      <c r="A103" s="5"/>
      <c r="B103" s="5"/>
      <c r="C103" s="5"/>
      <c r="E103" s="5"/>
      <c r="F103" s="5"/>
      <c r="I103" s="5"/>
      <c r="J103" s="5"/>
      <c r="K103" s="5"/>
      <c r="L103" s="5"/>
      <c r="M103" s="5"/>
      <c r="O103" s="5"/>
      <c r="P103" s="5"/>
      <c r="Q103" s="5"/>
    </row>
    <row r="104" spans="1:17" x14ac:dyDescent="0.3">
      <c r="A104" s="5"/>
      <c r="B104" s="5"/>
      <c r="C104" s="5"/>
      <c r="E104" s="5"/>
      <c r="F104" s="5"/>
      <c r="I104" s="5"/>
      <c r="J104" s="5"/>
      <c r="K104" s="5"/>
      <c r="L104" s="5"/>
      <c r="M104" s="5"/>
      <c r="O104" s="5"/>
      <c r="P104" s="5"/>
      <c r="Q104" s="5"/>
    </row>
    <row r="105" spans="1:17" x14ac:dyDescent="0.3">
      <c r="A105" s="5"/>
      <c r="B105" s="5"/>
      <c r="C105" s="5"/>
      <c r="E105" s="5"/>
      <c r="F105" s="5"/>
      <c r="I105" s="5"/>
      <c r="J105" s="5"/>
      <c r="K105" s="5"/>
      <c r="L105" s="5"/>
      <c r="M105" s="5"/>
      <c r="O105" s="5"/>
      <c r="P105" s="5"/>
      <c r="Q105"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9E559-0A02-4C17-9DB9-D7C1BAE77CA4}">
  <dimension ref="A1:I40"/>
  <sheetViews>
    <sheetView zoomScale="70" zoomScaleNormal="70" workbookViewId="0">
      <selection activeCell="M15" sqref="M15"/>
    </sheetView>
  </sheetViews>
  <sheetFormatPr defaultRowHeight="14.4" x14ac:dyDescent="0.3"/>
  <cols>
    <col min="1" max="1" width="17.88671875" customWidth="1"/>
    <col min="2" max="2" width="36.33203125" bestFit="1" customWidth="1"/>
    <col min="3" max="4" width="16.109375" bestFit="1" customWidth="1"/>
    <col min="7" max="9" width="16.109375" bestFit="1" customWidth="1"/>
  </cols>
  <sheetData>
    <row r="1" spans="1:9" x14ac:dyDescent="0.3">
      <c r="B1" s="15" t="str">
        <f>Base_case!X1</f>
        <v>Base Case: Total on-road auto emissions</v>
      </c>
      <c r="G1" s="15" t="s">
        <v>21</v>
      </c>
    </row>
    <row r="2" spans="1:9" x14ac:dyDescent="0.3">
      <c r="A2" s="2" t="s">
        <v>1</v>
      </c>
      <c r="B2" s="1" t="s">
        <v>20</v>
      </c>
      <c r="C2" s="1">
        <v>2035</v>
      </c>
      <c r="D2" s="1">
        <v>2030</v>
      </c>
      <c r="G2" s="1" t="s">
        <v>22</v>
      </c>
      <c r="H2" s="1" t="s">
        <v>23</v>
      </c>
      <c r="I2" s="1" t="s">
        <v>24</v>
      </c>
    </row>
    <row r="3" spans="1:9" x14ac:dyDescent="0.3">
      <c r="A3" s="1">
        <v>2020</v>
      </c>
      <c r="B3" s="40">
        <f>Base_case!X3</f>
        <v>1320466371.809464</v>
      </c>
      <c r="C3" s="40">
        <f>'2035'!W3</f>
        <v>1320466371.809464</v>
      </c>
      <c r="D3" s="40">
        <f>'2030'!W3</f>
        <v>1320466371.809464</v>
      </c>
      <c r="G3" s="27">
        <f t="shared" ref="G3:G33" si="0">D3-B3</f>
        <v>0</v>
      </c>
      <c r="H3" s="27">
        <f t="shared" ref="H3:H33" si="1">C3-B3</f>
        <v>0</v>
      </c>
      <c r="I3" s="27">
        <f t="shared" ref="I3:I33" si="2">D3-C3</f>
        <v>0</v>
      </c>
    </row>
    <row r="4" spans="1:9" x14ac:dyDescent="0.3">
      <c r="A4" s="1">
        <f t="shared" ref="A4:A33" si="3">A3+1</f>
        <v>2021</v>
      </c>
      <c r="B4" s="40">
        <f>Base_case!X4</f>
        <v>1317467763.1735768</v>
      </c>
      <c r="C4" s="40">
        <f>'2035'!W4</f>
        <v>1317467763.1735768</v>
      </c>
      <c r="D4" s="40">
        <f>'2030'!W4</f>
        <v>1317467763.1735768</v>
      </c>
      <c r="G4" s="27">
        <f t="shared" si="0"/>
        <v>0</v>
      </c>
      <c r="H4" s="27">
        <f t="shared" si="1"/>
        <v>0</v>
      </c>
      <c r="I4" s="27">
        <f t="shared" si="2"/>
        <v>0</v>
      </c>
    </row>
    <row r="5" spans="1:9" x14ac:dyDescent="0.3">
      <c r="A5" s="1">
        <f t="shared" si="3"/>
        <v>2022</v>
      </c>
      <c r="B5" s="40">
        <f>Base_case!X5</f>
        <v>1313862910.6465662</v>
      </c>
      <c r="C5" s="40">
        <f>'2035'!W5</f>
        <v>1313862910.6465662</v>
      </c>
      <c r="D5" s="40">
        <f>'2030'!W5</f>
        <v>1313862910.6465662</v>
      </c>
      <c r="G5" s="27">
        <f t="shared" si="0"/>
        <v>0</v>
      </c>
      <c r="H5" s="27">
        <f t="shared" si="1"/>
        <v>0</v>
      </c>
      <c r="I5" s="27">
        <f t="shared" si="2"/>
        <v>0</v>
      </c>
    </row>
    <row r="6" spans="1:9" x14ac:dyDescent="0.3">
      <c r="A6" s="1">
        <f t="shared" si="3"/>
        <v>2023</v>
      </c>
      <c r="B6" s="40">
        <f>Base_case!X6</f>
        <v>1309634448.0134084</v>
      </c>
      <c r="C6" s="40">
        <f>'2035'!W6</f>
        <v>1309634448.0134084</v>
      </c>
      <c r="D6" s="40">
        <f>'2030'!W6</f>
        <v>1309634448.0134084</v>
      </c>
      <c r="G6" s="27">
        <f t="shared" si="0"/>
        <v>0</v>
      </c>
      <c r="H6" s="27">
        <f t="shared" si="1"/>
        <v>0</v>
      </c>
      <c r="I6" s="27">
        <f t="shared" si="2"/>
        <v>0</v>
      </c>
    </row>
    <row r="7" spans="1:9" x14ac:dyDescent="0.3">
      <c r="A7" s="1">
        <f t="shared" si="3"/>
        <v>2024</v>
      </c>
      <c r="B7" s="40">
        <f>Base_case!X7</f>
        <v>1304353069.1651633</v>
      </c>
      <c r="C7" s="40">
        <f>'2035'!W7</f>
        <v>1304353069.1651633</v>
      </c>
      <c r="D7" s="40">
        <f>'2030'!W7</f>
        <v>1304353069.1651633</v>
      </c>
      <c r="G7" s="27">
        <f t="shared" si="0"/>
        <v>0</v>
      </c>
      <c r="H7" s="27">
        <f t="shared" si="1"/>
        <v>0</v>
      </c>
      <c r="I7" s="27">
        <f t="shared" si="2"/>
        <v>0</v>
      </c>
    </row>
    <row r="8" spans="1:9" x14ac:dyDescent="0.3">
      <c r="A8" s="1">
        <f t="shared" si="3"/>
        <v>2025</v>
      </c>
      <c r="B8" s="40">
        <f>Base_case!X8</f>
        <v>1296894098.9751232</v>
      </c>
      <c r="C8" s="40">
        <f>'2035'!W8</f>
        <v>1296894098.9751232</v>
      </c>
      <c r="D8" s="40">
        <f>'2030'!W8</f>
        <v>1293696084.6577723</v>
      </c>
      <c r="G8" s="27">
        <f t="shared" si="0"/>
        <v>-3198014.3173508644</v>
      </c>
      <c r="H8" s="27">
        <f t="shared" si="1"/>
        <v>0</v>
      </c>
      <c r="I8" s="27">
        <f t="shared" si="2"/>
        <v>-3198014.3173508644</v>
      </c>
    </row>
    <row r="9" spans="1:9" x14ac:dyDescent="0.3">
      <c r="A9" s="1">
        <f t="shared" si="3"/>
        <v>2026</v>
      </c>
      <c r="B9" s="40">
        <f>Base_case!X9</f>
        <v>1287398763.1471882</v>
      </c>
      <c r="C9" s="40">
        <f>'2035'!W9</f>
        <v>1287398763.1471882</v>
      </c>
      <c r="D9" s="40">
        <f>'2030'!W9</f>
        <v>1277749762.7708647</v>
      </c>
      <c r="G9" s="27">
        <f t="shared" si="0"/>
        <v>-9649000.3763234615</v>
      </c>
      <c r="H9" s="27">
        <f t="shared" si="1"/>
        <v>0</v>
      </c>
      <c r="I9" s="27">
        <f t="shared" si="2"/>
        <v>-9649000.3763234615</v>
      </c>
    </row>
    <row r="10" spans="1:9" x14ac:dyDescent="0.3">
      <c r="A10" s="1">
        <f t="shared" si="3"/>
        <v>2027</v>
      </c>
      <c r="B10" s="40">
        <f>Base_case!X10</f>
        <v>1275384066.1457007</v>
      </c>
      <c r="C10" s="40">
        <f>'2035'!W10</f>
        <v>1275384066.1457007</v>
      </c>
      <c r="D10" s="40">
        <f>'2030'!W10</f>
        <v>1256041344.5407164</v>
      </c>
      <c r="G10" s="27">
        <f t="shared" si="0"/>
        <v>-19342721.604984283</v>
      </c>
      <c r="H10" s="27">
        <f t="shared" si="1"/>
        <v>0</v>
      </c>
      <c r="I10" s="27">
        <f t="shared" si="2"/>
        <v>-19342721.604984283</v>
      </c>
    </row>
    <row r="11" spans="1:9" x14ac:dyDescent="0.3">
      <c r="A11" s="1">
        <f t="shared" si="3"/>
        <v>2028</v>
      </c>
      <c r="B11" s="40">
        <f>Base_case!X11</f>
        <v>1260911215.8798044</v>
      </c>
      <c r="C11" s="40">
        <f>'2035'!W11</f>
        <v>1260911215.8798044</v>
      </c>
      <c r="D11" s="40">
        <f>'2030'!W11</f>
        <v>1228650530.6232233</v>
      </c>
      <c r="G11" s="27">
        <f t="shared" si="0"/>
        <v>-32260685.256581068</v>
      </c>
      <c r="H11" s="27">
        <f t="shared" si="1"/>
        <v>0</v>
      </c>
      <c r="I11" s="27">
        <f t="shared" si="2"/>
        <v>-32260685.256581068</v>
      </c>
    </row>
    <row r="12" spans="1:9" x14ac:dyDescent="0.3">
      <c r="A12" s="1">
        <f t="shared" si="3"/>
        <v>2029</v>
      </c>
      <c r="B12" s="40">
        <f>Base_case!X12</f>
        <v>1243912816.7198622</v>
      </c>
      <c r="C12" s="40">
        <f>'2035'!W12</f>
        <v>1243912816.7198622</v>
      </c>
      <c r="D12" s="40">
        <f>'2030'!W12</f>
        <v>1195440779.5316947</v>
      </c>
      <c r="G12" s="27">
        <f t="shared" si="0"/>
        <v>-48472037.188167572</v>
      </c>
      <c r="H12" s="27">
        <f t="shared" si="1"/>
        <v>0</v>
      </c>
      <c r="I12" s="27">
        <f t="shared" si="2"/>
        <v>-48472037.188167572</v>
      </c>
    </row>
    <row r="13" spans="1:9" x14ac:dyDescent="0.3">
      <c r="A13" s="19">
        <f t="shared" si="3"/>
        <v>2030</v>
      </c>
      <c r="B13" s="40">
        <f>Base_case!X13</f>
        <v>1224408224.5791745</v>
      </c>
      <c r="C13" s="40">
        <f>'2035'!W13</f>
        <v>1221099874.7839196</v>
      </c>
      <c r="D13" s="40">
        <f>'2030'!W13</f>
        <v>1129937536.9861925</v>
      </c>
      <c r="G13" s="27">
        <f t="shared" si="0"/>
        <v>-94470687.592982054</v>
      </c>
      <c r="H13" s="27">
        <f t="shared" si="1"/>
        <v>-3308349.7952549458</v>
      </c>
      <c r="I13" s="27">
        <f t="shared" si="2"/>
        <v>-91162337.797727108</v>
      </c>
    </row>
    <row r="14" spans="1:9" x14ac:dyDescent="0.3">
      <c r="A14" s="1">
        <f t="shared" si="3"/>
        <v>2031</v>
      </c>
      <c r="B14" s="40">
        <f>Base_case!X14</f>
        <v>1204271417.3594711</v>
      </c>
      <c r="C14" s="40">
        <f>'2035'!W14</f>
        <v>1194345050.3675046</v>
      </c>
      <c r="D14" s="40">
        <f>'2030'!W14</f>
        <v>1065010275.2670416</v>
      </c>
      <c r="G14" s="27">
        <f t="shared" si="0"/>
        <v>-139261142.09242952</v>
      </c>
      <c r="H14" s="27">
        <f t="shared" si="1"/>
        <v>-9926366.991966486</v>
      </c>
      <c r="I14" s="27">
        <f t="shared" si="2"/>
        <v>-129334775.10046303</v>
      </c>
    </row>
    <row r="15" spans="1:9" x14ac:dyDescent="0.3">
      <c r="A15" s="1">
        <f t="shared" si="3"/>
        <v>2032</v>
      </c>
      <c r="B15" s="40">
        <f>Base_case!X15</f>
        <v>1181236405.6757798</v>
      </c>
      <c r="C15" s="40">
        <f>'2035'!W15</f>
        <v>1161378991.8453283</v>
      </c>
      <c r="D15" s="40">
        <f>'2030'!W15</f>
        <v>1000282715.6441838</v>
      </c>
      <c r="G15" s="27">
        <f t="shared" si="0"/>
        <v>-180953690.03159606</v>
      </c>
      <c r="H15" s="27">
        <f t="shared" si="1"/>
        <v>-19857413.830451488</v>
      </c>
      <c r="I15" s="27">
        <f t="shared" si="2"/>
        <v>-161096276.20114458</v>
      </c>
    </row>
    <row r="16" spans="1:9" x14ac:dyDescent="0.3">
      <c r="A16" s="1">
        <f t="shared" si="3"/>
        <v>2033</v>
      </c>
      <c r="B16" s="40">
        <f>Base_case!X16</f>
        <v>1155427377.503243</v>
      </c>
      <c r="C16" s="40">
        <f>'2035'!W16</f>
        <v>1122309305.6981287</v>
      </c>
      <c r="D16" s="40">
        <f>'2030'!W16</f>
        <v>935792870.39530802</v>
      </c>
      <c r="G16" s="27">
        <f t="shared" si="0"/>
        <v>-219634507.10793495</v>
      </c>
      <c r="H16" s="27">
        <f t="shared" si="1"/>
        <v>-33118071.805114269</v>
      </c>
      <c r="I16" s="27">
        <f t="shared" si="2"/>
        <v>-186516435.30282068</v>
      </c>
    </row>
    <row r="17" spans="1:9" x14ac:dyDescent="0.3">
      <c r="A17" s="1">
        <f t="shared" si="3"/>
        <v>2034</v>
      </c>
      <c r="B17" s="40">
        <f>Base_case!X17</f>
        <v>1126681872.9208002</v>
      </c>
      <c r="C17" s="40">
        <f>'2035'!W17</f>
        <v>1076927529.8983462</v>
      </c>
      <c r="D17" s="40">
        <f>'2030'!W17</f>
        <v>871220410.44041443</v>
      </c>
      <c r="G17" s="27">
        <f t="shared" si="0"/>
        <v>-255461462.48038578</v>
      </c>
      <c r="H17" s="27">
        <f t="shared" si="1"/>
        <v>-49754343.022454023</v>
      </c>
      <c r="I17" s="27">
        <f t="shared" si="2"/>
        <v>-205707119.45793176</v>
      </c>
    </row>
    <row r="18" spans="1:9" x14ac:dyDescent="0.3">
      <c r="A18" s="1">
        <f t="shared" si="3"/>
        <v>2035</v>
      </c>
      <c r="B18" s="40">
        <f>Base_case!X18</f>
        <v>1095452284.3928738</v>
      </c>
      <c r="C18" s="40">
        <f>'2035'!W18</f>
        <v>1011384721.4421678</v>
      </c>
      <c r="D18" s="40">
        <f>'2030'!W18</f>
        <v>807023314.06929088</v>
      </c>
      <c r="G18" s="27">
        <f t="shared" si="0"/>
        <v>-288428970.32358289</v>
      </c>
      <c r="H18" s="27">
        <f t="shared" si="1"/>
        <v>-84067562.950706005</v>
      </c>
      <c r="I18" s="27">
        <f t="shared" si="2"/>
        <v>-204361407.37287688</v>
      </c>
    </row>
    <row r="19" spans="1:9" x14ac:dyDescent="0.3">
      <c r="A19" s="1">
        <f t="shared" si="3"/>
        <v>2036</v>
      </c>
      <c r="B19" s="40">
        <f>Base_case!X19</f>
        <v>1062563342.3583248</v>
      </c>
      <c r="C19" s="40">
        <f>'2035'!W19</f>
        <v>946283184.9005481</v>
      </c>
      <c r="D19" s="40">
        <f>'2030'!W19</f>
        <v>743580060.05228162</v>
      </c>
      <c r="G19" s="27">
        <f t="shared" si="0"/>
        <v>-318983282.30604315</v>
      </c>
      <c r="H19" s="27">
        <f t="shared" si="1"/>
        <v>-116280157.45777667</v>
      </c>
      <c r="I19" s="27">
        <f t="shared" si="2"/>
        <v>-202703124.84826648</v>
      </c>
    </row>
    <row r="20" spans="1:9" x14ac:dyDescent="0.3">
      <c r="A20" s="1">
        <f t="shared" si="3"/>
        <v>2037</v>
      </c>
      <c r="B20" s="40">
        <f>Base_case!X20</f>
        <v>1028148023.4684985</v>
      </c>
      <c r="C20" s="40">
        <f>'2035'!W20</f>
        <v>881833969.79048061</v>
      </c>
      <c r="D20" s="40">
        <f>'2030'!W20</f>
        <v>680989462.32214677</v>
      </c>
      <c r="G20" s="27">
        <f t="shared" si="0"/>
        <v>-347158561.1463517</v>
      </c>
      <c r="H20" s="27">
        <f t="shared" si="1"/>
        <v>-146314053.67801785</v>
      </c>
      <c r="I20" s="27">
        <f t="shared" si="2"/>
        <v>-200844507.46833384</v>
      </c>
    </row>
    <row r="21" spans="1:9" x14ac:dyDescent="0.3">
      <c r="A21" s="1">
        <f t="shared" si="3"/>
        <v>2038</v>
      </c>
      <c r="B21" s="40">
        <f>Base_case!X21</f>
        <v>993003425.64845407</v>
      </c>
      <c r="C21" s="40">
        <f>'2035'!W21</f>
        <v>818740745.68207538</v>
      </c>
      <c r="D21" s="40">
        <f>'2030'!W21</f>
        <v>619739283.35857821</v>
      </c>
      <c r="G21" s="27">
        <f t="shared" si="0"/>
        <v>-373264142.28987586</v>
      </c>
      <c r="H21" s="27">
        <f t="shared" si="1"/>
        <v>-174262679.96637869</v>
      </c>
      <c r="I21" s="27">
        <f t="shared" si="2"/>
        <v>-199001462.32349718</v>
      </c>
    </row>
    <row r="22" spans="1:9" x14ac:dyDescent="0.3">
      <c r="A22" s="1">
        <f t="shared" si="3"/>
        <v>2039</v>
      </c>
      <c r="B22" s="40">
        <f>Base_case!X22</f>
        <v>956884801.744537</v>
      </c>
      <c r="C22" s="40">
        <f>'2035'!W22</f>
        <v>756879274.28136671</v>
      </c>
      <c r="D22" s="40">
        <f>'2030'!W22</f>
        <v>559828590.7164793</v>
      </c>
      <c r="G22" s="27">
        <f t="shared" si="0"/>
        <v>-397056211.02805769</v>
      </c>
      <c r="H22" s="27">
        <f t="shared" si="1"/>
        <v>-200005527.46317029</v>
      </c>
      <c r="I22" s="27">
        <f t="shared" si="2"/>
        <v>-197050683.5648874</v>
      </c>
    </row>
    <row r="23" spans="1:9" x14ac:dyDescent="0.3">
      <c r="A23" s="1">
        <f t="shared" si="3"/>
        <v>2040</v>
      </c>
      <c r="B23" s="40">
        <f>Base_case!X23</f>
        <v>919492154.01387429</v>
      </c>
      <c r="C23" s="40">
        <f>'2035'!W23</f>
        <v>695779673.41651523</v>
      </c>
      <c r="D23" s="40">
        <f>'2030'!W23</f>
        <v>500601019.38450283</v>
      </c>
      <c r="G23" s="27">
        <f t="shared" si="0"/>
        <v>-418891134.62937146</v>
      </c>
      <c r="H23" s="27">
        <f t="shared" si="1"/>
        <v>-223712480.59735906</v>
      </c>
      <c r="I23" s="27">
        <f t="shared" si="2"/>
        <v>-195178654.0320124</v>
      </c>
    </row>
    <row r="24" spans="1:9" x14ac:dyDescent="0.3">
      <c r="A24" s="1">
        <f t="shared" si="3"/>
        <v>2041</v>
      </c>
      <c r="B24" s="40">
        <f>Base_case!X24</f>
        <v>881777301.58131027</v>
      </c>
      <c r="C24" s="40">
        <f>'2035'!W24</f>
        <v>635567645.59871542</v>
      </c>
      <c r="D24" s="40">
        <f>'2030'!W24</f>
        <v>442157978.4965595</v>
      </c>
      <c r="G24" s="27">
        <f t="shared" si="0"/>
        <v>-439619323.08475077</v>
      </c>
      <c r="H24" s="27">
        <f t="shared" si="1"/>
        <v>-246209655.98259485</v>
      </c>
      <c r="I24" s="27">
        <f t="shared" si="2"/>
        <v>-193409667.10215592</v>
      </c>
    </row>
    <row r="25" spans="1:9" x14ac:dyDescent="0.3">
      <c r="A25" s="1">
        <f t="shared" si="3"/>
        <v>2042</v>
      </c>
      <c r="B25" s="40">
        <f>Base_case!X25</f>
        <v>845418840.74533331</v>
      </c>
      <c r="C25" s="40">
        <f>'2035'!W25</f>
        <v>578237496.05458093</v>
      </c>
      <c r="D25" s="40">
        <f>'2030'!W25</f>
        <v>389541451.38057524</v>
      </c>
      <c r="G25" s="27">
        <f t="shared" si="0"/>
        <v>-455877389.36475807</v>
      </c>
      <c r="H25" s="27">
        <f t="shared" si="1"/>
        <v>-267181344.69075239</v>
      </c>
      <c r="I25" s="27">
        <f t="shared" si="2"/>
        <v>-188696044.67400569</v>
      </c>
    </row>
    <row r="26" spans="1:9" x14ac:dyDescent="0.3">
      <c r="A26" s="1">
        <f t="shared" si="3"/>
        <v>2043</v>
      </c>
      <c r="B26" s="40">
        <f>Base_case!X26</f>
        <v>809730110.77373004</v>
      </c>
      <c r="C26" s="40">
        <f>'2035'!W26</f>
        <v>522868958.90989077</v>
      </c>
      <c r="D26" s="40">
        <f>'2030'!W26</f>
        <v>341630326.06762254</v>
      </c>
      <c r="G26" s="27">
        <f t="shared" si="0"/>
        <v>-468099784.7061075</v>
      </c>
      <c r="H26" s="27">
        <f t="shared" si="1"/>
        <v>-286861151.86383927</v>
      </c>
      <c r="I26" s="27">
        <f t="shared" si="2"/>
        <v>-181238632.84226823</v>
      </c>
    </row>
    <row r="27" spans="1:9" x14ac:dyDescent="0.3">
      <c r="A27" s="1">
        <f t="shared" si="3"/>
        <v>2044</v>
      </c>
      <c r="B27" s="40">
        <f>Base_case!X27</f>
        <v>775111448.71208644</v>
      </c>
      <c r="C27" s="40">
        <f>'2035'!W27</f>
        <v>469766893.35146844</v>
      </c>
      <c r="D27" s="40">
        <f>'2030'!W27</f>
        <v>298676179.80776334</v>
      </c>
      <c r="G27" s="27">
        <f t="shared" si="0"/>
        <v>-476435268.9043231</v>
      </c>
      <c r="H27" s="27">
        <f t="shared" si="1"/>
        <v>-305344555.360618</v>
      </c>
      <c r="I27" s="27">
        <f t="shared" si="2"/>
        <v>-171090713.54370511</v>
      </c>
    </row>
    <row r="28" spans="1:9" x14ac:dyDescent="0.3">
      <c r="A28" s="1">
        <f t="shared" si="3"/>
        <v>2045</v>
      </c>
      <c r="B28" s="40">
        <f>Base_case!X28</f>
        <v>741331129.27303851</v>
      </c>
      <c r="C28" s="40">
        <f>'2035'!W28</f>
        <v>418567939.8504315</v>
      </c>
      <c r="D28" s="40">
        <f>'2030'!W28</f>
        <v>275080617.69291413</v>
      </c>
      <c r="G28" s="27">
        <f t="shared" si="0"/>
        <v>-466250511.58012438</v>
      </c>
      <c r="H28" s="27">
        <f t="shared" si="1"/>
        <v>-322763189.422607</v>
      </c>
      <c r="I28" s="27">
        <f t="shared" si="2"/>
        <v>-143487322.15751737</v>
      </c>
    </row>
    <row r="29" spans="1:9" x14ac:dyDescent="0.3">
      <c r="A29" s="1">
        <f t="shared" si="3"/>
        <v>2046</v>
      </c>
      <c r="B29" s="40">
        <f>Base_case!X29</f>
        <v>708541438.10149407</v>
      </c>
      <c r="C29" s="40">
        <f>'2035'!W29</f>
        <v>369512776.94668835</v>
      </c>
      <c r="D29" s="40">
        <f>'2030'!W29</f>
        <v>275005244.55693978</v>
      </c>
      <c r="G29" s="27">
        <f t="shared" si="0"/>
        <v>-433536193.54455429</v>
      </c>
      <c r="H29" s="27">
        <f t="shared" si="1"/>
        <v>-339028661.15480572</v>
      </c>
      <c r="I29" s="27">
        <f t="shared" si="2"/>
        <v>-94507532.389748573</v>
      </c>
    </row>
    <row r="30" spans="1:9" x14ac:dyDescent="0.3">
      <c r="A30" s="1">
        <f t="shared" si="3"/>
        <v>2047</v>
      </c>
      <c r="B30" s="40">
        <f>Base_case!X30</f>
        <v>676710121.6724894</v>
      </c>
      <c r="C30" s="40">
        <f>'2035'!W30</f>
        <v>325406151.50085306</v>
      </c>
      <c r="D30" s="40">
        <f>'2030'!W30</f>
        <v>274577860.7360093</v>
      </c>
      <c r="G30" s="27">
        <f t="shared" si="0"/>
        <v>-402132260.9364801</v>
      </c>
      <c r="H30" s="27">
        <f t="shared" si="1"/>
        <v>-351303970.17163634</v>
      </c>
      <c r="I30" s="27">
        <f t="shared" si="2"/>
        <v>-50828290.764843762</v>
      </c>
    </row>
    <row r="31" spans="1:9" x14ac:dyDescent="0.3">
      <c r="A31" s="1">
        <f t="shared" si="3"/>
        <v>2048</v>
      </c>
      <c r="B31" s="40">
        <f>Base_case!X31</f>
        <v>645624233.67947316</v>
      </c>
      <c r="C31" s="40">
        <f>'2035'!W31</f>
        <v>286736737.09181315</v>
      </c>
      <c r="D31" s="40">
        <f>'2030'!W31</f>
        <v>275837427.31062043</v>
      </c>
      <c r="G31" s="27">
        <f t="shared" si="0"/>
        <v>-369786806.36885273</v>
      </c>
      <c r="H31" s="27">
        <f t="shared" si="1"/>
        <v>-358887496.58766001</v>
      </c>
      <c r="I31" s="27">
        <f t="shared" si="2"/>
        <v>-10899309.78119272</v>
      </c>
    </row>
    <row r="32" spans="1:9" x14ac:dyDescent="0.3">
      <c r="A32" s="1">
        <f t="shared" si="3"/>
        <v>2049</v>
      </c>
      <c r="B32" s="40">
        <f>Base_case!X32</f>
        <v>615959516.20612752</v>
      </c>
      <c r="C32" s="40">
        <f>'2035'!W32</f>
        <v>276999367.12399703</v>
      </c>
      <c r="D32" s="40">
        <f>'2030'!W32</f>
        <v>276999367.12399703</v>
      </c>
      <c r="G32" s="27">
        <f t="shared" si="0"/>
        <v>-338960149.08213049</v>
      </c>
      <c r="H32" s="27">
        <f t="shared" si="1"/>
        <v>-338960149.08213049</v>
      </c>
      <c r="I32" s="27">
        <f t="shared" si="2"/>
        <v>0</v>
      </c>
    </row>
    <row r="33" spans="1:9" x14ac:dyDescent="0.3">
      <c r="A33" s="1">
        <f t="shared" si="3"/>
        <v>2050</v>
      </c>
      <c r="B33" s="40">
        <f>Base_case!X33</f>
        <v>587686854.70979142</v>
      </c>
      <c r="C33" s="40">
        <f>'2035'!W33</f>
        <v>278042186.17030895</v>
      </c>
      <c r="D33" s="40">
        <f>'2030'!W33</f>
        <v>278042186.17030895</v>
      </c>
      <c r="G33" s="27">
        <f t="shared" si="0"/>
        <v>-309644668.53948247</v>
      </c>
      <c r="H33" s="27">
        <f t="shared" si="1"/>
        <v>-309644668.53948247</v>
      </c>
      <c r="I33" s="27">
        <f t="shared" si="2"/>
        <v>0</v>
      </c>
    </row>
    <row r="34" spans="1:9" x14ac:dyDescent="0.3">
      <c r="A34" s="1" t="s">
        <v>85</v>
      </c>
      <c r="B34" s="40">
        <f>SUM(B3:B33)</f>
        <v>32165745848.795765</v>
      </c>
      <c r="C34" s="40">
        <f t="shared" ref="C34:D34" si="4">SUM(C3:C33)</f>
        <v>27978953998.380989</v>
      </c>
      <c r="D34" s="40">
        <f t="shared" si="4"/>
        <v>24858917242.912174</v>
      </c>
      <c r="F34" s="31" t="s">
        <v>25</v>
      </c>
      <c r="G34" s="41">
        <f>SUM(G9:G33)</f>
        <v>-7303630591.5662308</v>
      </c>
      <c r="H34" s="41">
        <f t="shared" ref="H34:I34" si="5">SUM(H9:H33)</f>
        <v>-4186791850.4147763</v>
      </c>
      <c r="I34" s="41">
        <f t="shared" si="5"/>
        <v>-3116838741.1514549</v>
      </c>
    </row>
    <row r="35" spans="1:9" x14ac:dyDescent="0.3">
      <c r="B35" s="98"/>
      <c r="C35" s="98"/>
      <c r="D35" s="98"/>
      <c r="G35" s="29"/>
    </row>
    <row r="36" spans="1:9" x14ac:dyDescent="0.3">
      <c r="B36" s="99"/>
      <c r="C36" s="99"/>
      <c r="D36" s="99"/>
    </row>
    <row r="37" spans="1:9" x14ac:dyDescent="0.3">
      <c r="B37" s="99"/>
      <c r="C37" s="99"/>
      <c r="D37" s="99"/>
    </row>
    <row r="40" spans="1:9" x14ac:dyDescent="0.3">
      <c r="A40" s="87"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A8C88-BA85-49BC-96B6-9B70DA22116B}">
  <dimension ref="A71"/>
  <sheetViews>
    <sheetView topLeftCell="S1" zoomScale="70" zoomScaleNormal="70" workbookViewId="0">
      <selection activeCell="AN21" sqref="AN21"/>
    </sheetView>
  </sheetViews>
  <sheetFormatPr defaultRowHeight="14.4" x14ac:dyDescent="0.3"/>
  <sheetData>
    <row r="71" spans="1:1" x14ac:dyDescent="0.3">
      <c r="A71" s="87" t="s">
        <v>86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F17CE-70C9-4B3B-9BB6-5B3CD9537003}">
  <dimension ref="A2:L46"/>
  <sheetViews>
    <sheetView workbookViewId="0">
      <selection activeCell="B12" sqref="B12"/>
    </sheetView>
  </sheetViews>
  <sheetFormatPr defaultRowHeight="14.4" x14ac:dyDescent="0.3"/>
  <cols>
    <col min="7" max="7" width="41.5546875" bestFit="1" customWidth="1"/>
    <col min="8" max="8" width="33.33203125" bestFit="1" customWidth="1"/>
    <col min="9" max="9" width="27.44140625" bestFit="1" customWidth="1"/>
    <col min="10" max="10" width="14.33203125" bestFit="1" customWidth="1"/>
    <col min="11" max="11" width="8.88671875" style="5"/>
    <col min="12" max="12" width="18.21875" style="5" customWidth="1"/>
    <col min="13" max="16384" width="8.88671875" style="5"/>
  </cols>
  <sheetData>
    <row r="2" spans="1:12" ht="18.600000000000001" thickBot="1" x14ac:dyDescent="0.4">
      <c r="A2" s="37" t="s">
        <v>73</v>
      </c>
    </row>
    <row r="3" spans="1:12" x14ac:dyDescent="0.3">
      <c r="A3" s="167" t="s">
        <v>1</v>
      </c>
      <c r="B3" s="168" t="s">
        <v>68</v>
      </c>
      <c r="C3" s="168" t="s">
        <v>69</v>
      </c>
      <c r="D3" s="168" t="s">
        <v>70</v>
      </c>
      <c r="E3" s="168" t="s">
        <v>71</v>
      </c>
      <c r="F3" s="168" t="s">
        <v>72</v>
      </c>
      <c r="G3" s="168" t="s">
        <v>142</v>
      </c>
      <c r="H3" s="168" t="s">
        <v>143</v>
      </c>
      <c r="I3" s="168" t="s">
        <v>144</v>
      </c>
      <c r="J3" s="169" t="s">
        <v>145</v>
      </c>
    </row>
    <row r="4" spans="1:12" x14ac:dyDescent="0.3">
      <c r="A4" s="53">
        <v>2010</v>
      </c>
      <c r="B4" s="3">
        <v>1.350180675594816E-2</v>
      </c>
      <c r="C4" s="3">
        <v>0.23929843174595841</v>
      </c>
      <c r="D4" s="3">
        <v>0.10412836092208812</v>
      </c>
      <c r="E4" s="3">
        <v>0.19551150921738081</v>
      </c>
      <c r="F4" s="3">
        <v>0.44755989135862451</v>
      </c>
      <c r="G4" s="3">
        <f>B4/(B4+C4+F4)</f>
        <v>1.927837719522511E-2</v>
      </c>
      <c r="H4" s="3">
        <f>C4/(F4+C4+B4)</f>
        <v>0.34167911841813731</v>
      </c>
      <c r="I4" s="3">
        <f>F4/(F4+C4+B4)</f>
        <v>0.63904250438663757</v>
      </c>
      <c r="J4" s="171">
        <f>(G4*[1]pollution_by_fuel!$E$7)+(H4*[1]pollution_by_fuel!$E$6)+(I4*[1]pollution_by_fuel!$E$5)</f>
        <v>1.7642748758808033</v>
      </c>
    </row>
    <row r="5" spans="1:12" x14ac:dyDescent="0.3">
      <c r="A5" s="53">
        <v>2011</v>
      </c>
      <c r="B5" s="3">
        <v>1.2057091353503102E-2</v>
      </c>
      <c r="C5" s="3">
        <v>0.2470022575729022</v>
      </c>
      <c r="D5" s="3">
        <v>0.12601502774882342</v>
      </c>
      <c r="E5" s="3">
        <v>0.19254641770201045</v>
      </c>
      <c r="F5" s="3">
        <v>0.42237920562276077</v>
      </c>
      <c r="G5" s="3">
        <f t="shared" ref="G5:G44" si="0">B5/(B5+C5+F5)</f>
        <v>1.7693585537554402E-2</v>
      </c>
      <c r="H5" s="3">
        <f t="shared" ref="H5:H44" si="1">C5/(F5+C5+B5)</f>
        <v>0.36247179723536016</v>
      </c>
      <c r="I5" s="3">
        <f t="shared" ref="I5:I44" si="2">F5/(F5+C5+B5)</f>
        <v>0.61983461722708555</v>
      </c>
      <c r="J5" s="171">
        <f>(G5*[1]pollution_by_fuel!$E$7)+(H5*[1]pollution_by_fuel!$E$6)+(I5*[1]pollution_by_fuel!$E$5)</f>
        <v>1.7373711767510278</v>
      </c>
    </row>
    <row r="6" spans="1:12" x14ac:dyDescent="0.3">
      <c r="A6" s="53">
        <v>2012</v>
      </c>
      <c r="B6" s="3">
        <v>1.0834941853648377E-2</v>
      </c>
      <c r="C6" s="3">
        <v>0.30239750778433938</v>
      </c>
      <c r="D6" s="3">
        <v>0.12351616668715686</v>
      </c>
      <c r="E6" s="3">
        <v>0.18977476343847838</v>
      </c>
      <c r="F6" s="3">
        <v>0.37347662023637695</v>
      </c>
      <c r="G6" s="3">
        <f t="shared" si="0"/>
        <v>1.5778067203380111E-2</v>
      </c>
      <c r="H6" s="3">
        <f t="shared" si="1"/>
        <v>0.44035752700872849</v>
      </c>
      <c r="I6" s="3">
        <f t="shared" si="2"/>
        <v>0.54386440578789141</v>
      </c>
      <c r="J6" s="171">
        <f>(G6*[1]pollution_by_fuel!$E$7)+(H6*[1]pollution_by_fuel!$E$6)+(I6*[1]pollution_by_fuel!$E$5)</f>
        <v>1.6362729695123825</v>
      </c>
    </row>
    <row r="7" spans="1:12" x14ac:dyDescent="0.3">
      <c r="A7" s="53">
        <v>2013</v>
      </c>
      <c r="B7" s="3">
        <v>1.2008638879232444E-2</v>
      </c>
      <c r="C7" s="3">
        <v>0.27609454129122102</v>
      </c>
      <c r="D7" s="3">
        <v>0.13014053819647531</v>
      </c>
      <c r="E7" s="3">
        <v>0.19366653965974728</v>
      </c>
      <c r="F7" s="3">
        <v>0.38808974197332385</v>
      </c>
      <c r="G7" s="3">
        <f t="shared" si="0"/>
        <v>1.7759190441036701E-2</v>
      </c>
      <c r="H7" s="3">
        <f t="shared" si="1"/>
        <v>0.40830735171835431</v>
      </c>
      <c r="I7" s="3">
        <f t="shared" si="2"/>
        <v>0.57393345784060912</v>
      </c>
      <c r="J7" s="171">
        <f>(G7*[1]pollution_by_fuel!$E$7)+(H7*[1]pollution_by_fuel!$E$6)+(I7*[1]pollution_by_fuel!$E$5)</f>
        <v>1.6777797075308567</v>
      </c>
    </row>
    <row r="8" spans="1:12" x14ac:dyDescent="0.3">
      <c r="A8" s="53">
        <v>2014</v>
      </c>
      <c r="B8" s="3">
        <v>1.2069019526252089E-2</v>
      </c>
      <c r="C8" s="3">
        <v>0.27445876682220349</v>
      </c>
      <c r="D8" s="3">
        <v>0.13394240891560105</v>
      </c>
      <c r="E8" s="3">
        <v>0.1942015423887555</v>
      </c>
      <c r="F8" s="3">
        <v>0.38532826234718776</v>
      </c>
      <c r="G8" s="3">
        <f t="shared" si="0"/>
        <v>1.796369854775165E-2</v>
      </c>
      <c r="H8" s="3">
        <f t="shared" si="1"/>
        <v>0.40850829185067844</v>
      </c>
      <c r="I8" s="3">
        <f t="shared" si="2"/>
        <v>0.57352800960156991</v>
      </c>
      <c r="J8" s="171">
        <f>(G8*[1]pollution_by_fuel!$E$7)+(H8*[1]pollution_by_fuel!$E$6)+(I8*[1]pollution_by_fuel!$E$5)</f>
        <v>1.6775021247102979</v>
      </c>
    </row>
    <row r="9" spans="1:12" x14ac:dyDescent="0.3">
      <c r="A9" s="53">
        <v>2015</v>
      </c>
      <c r="B9" s="3">
        <v>1.2293459376096022E-2</v>
      </c>
      <c r="C9" s="3">
        <v>0.32589608402914327</v>
      </c>
      <c r="D9" s="3">
        <v>0.136465227235397</v>
      </c>
      <c r="E9" s="3">
        <v>0.19482615216651419</v>
      </c>
      <c r="F9" s="3">
        <v>0.33051907719284956</v>
      </c>
      <c r="G9" s="3">
        <f t="shared" si="0"/>
        <v>1.8383880508525265E-2</v>
      </c>
      <c r="H9" s="3">
        <f t="shared" si="1"/>
        <v>0.48735140237561736</v>
      </c>
      <c r="I9" s="3">
        <f t="shared" si="2"/>
        <v>0.49426471711585734</v>
      </c>
      <c r="J9" s="171">
        <f>(G9*[1]pollution_by_fuel!$E$7)+(H9*[1]pollution_by_fuel!$E$6)+(I9*[1]pollution_by_fuel!$E$5)</f>
        <v>1.5749724664710154</v>
      </c>
    </row>
    <row r="10" spans="1:12" x14ac:dyDescent="0.3">
      <c r="A10" s="53">
        <v>2016</v>
      </c>
      <c r="B10" s="3">
        <v>1.076313785859568E-2</v>
      </c>
      <c r="C10" s="3">
        <v>0.33654283715887573</v>
      </c>
      <c r="D10" s="3">
        <v>0.15340237132779524</v>
      </c>
      <c r="E10" s="3">
        <v>0.19672725860485529</v>
      </c>
      <c r="F10" s="3">
        <v>0.30256439504987798</v>
      </c>
      <c r="G10" s="3">
        <f t="shared" si="0"/>
        <v>1.6561976594624925E-2</v>
      </c>
      <c r="H10" s="3">
        <f t="shared" si="1"/>
        <v>0.51786148847499858</v>
      </c>
      <c r="I10" s="3">
        <f t="shared" si="2"/>
        <v>0.46557653493037648</v>
      </c>
      <c r="J10" s="171">
        <f>(G10*[1]pollution_by_fuel!$E$7)+(H10*[1]pollution_by_fuel!$E$6)+(I10*[1]pollution_by_fuel!$E$5)</f>
        <v>1.5354551068549318</v>
      </c>
    </row>
    <row r="11" spans="1:12" x14ac:dyDescent="0.3">
      <c r="A11" s="53">
        <v>2017</v>
      </c>
      <c r="B11" s="3">
        <v>9.969816526142615E-3</v>
      </c>
      <c r="C11" s="3">
        <v>0.31945765484126509</v>
      </c>
      <c r="D11" s="3">
        <v>0.17509297352727751</v>
      </c>
      <c r="E11" s="3">
        <v>0.19834851221678784</v>
      </c>
      <c r="F11" s="3">
        <v>0.29713104288852688</v>
      </c>
      <c r="G11" s="3">
        <f t="shared" si="0"/>
        <v>1.5912027846245461E-2</v>
      </c>
      <c r="H11" s="3">
        <f t="shared" si="1"/>
        <v>0.50986084710800705</v>
      </c>
      <c r="I11" s="3">
        <f t="shared" si="2"/>
        <v>0.47422712504574754</v>
      </c>
      <c r="J11" s="171">
        <f>(G11*[1]pollution_by_fuel!$E$7)+(H11*[1]pollution_by_fuel!$E$6)+(I11*[1]pollution_by_fuel!$E$5)</f>
        <v>1.5459079365318913</v>
      </c>
      <c r="K11" s="170"/>
    </row>
    <row r="12" spans="1:12" x14ac:dyDescent="0.3">
      <c r="A12" s="53">
        <v>2018</v>
      </c>
      <c r="B12" s="3">
        <v>1.0874406169077394E-2</v>
      </c>
      <c r="C12" s="3">
        <v>0.34914370444906501</v>
      </c>
      <c r="D12" s="3">
        <v>0.17499695392500184</v>
      </c>
      <c r="E12" s="3">
        <v>0.19180588725176093</v>
      </c>
      <c r="F12" s="3">
        <v>0.27317904820509481</v>
      </c>
      <c r="G12" s="3">
        <f t="shared" si="0"/>
        <v>1.7173807585123869E-2</v>
      </c>
      <c r="H12" s="3">
        <f t="shared" si="1"/>
        <v>0.55139809075885582</v>
      </c>
      <c r="I12" s="3">
        <f t="shared" si="2"/>
        <v>0.43142810165602025</v>
      </c>
      <c r="J12" s="171">
        <f>(G12*[1]pollution_by_fuel!$E$7)+(H12*[1]pollution_by_fuel!$E$6)+(I12*[1]pollution_by_fuel!$E$5)</f>
        <v>1.4918085774066774</v>
      </c>
    </row>
    <row r="13" spans="1:12" x14ac:dyDescent="0.3">
      <c r="A13" s="53">
        <v>2019</v>
      </c>
      <c r="B13" s="3">
        <v>9.6898507091064904E-3</v>
      </c>
      <c r="C13" s="3">
        <v>0.38087655396869285</v>
      </c>
      <c r="D13" s="3">
        <v>0.18190690455889647</v>
      </c>
      <c r="E13" s="3">
        <v>0.19489314228235724</v>
      </c>
      <c r="F13" s="3">
        <v>0.23263354848094678</v>
      </c>
      <c r="G13" s="3">
        <f t="shared" si="0"/>
        <v>1.5548542101122751E-2</v>
      </c>
      <c r="H13" s="3">
        <f t="shared" si="1"/>
        <v>0.61116268067445312</v>
      </c>
      <c r="I13" s="3">
        <f t="shared" si="2"/>
        <v>0.37328877722442422</v>
      </c>
      <c r="J13" s="171">
        <f>(G13*[1]pollution_by_fuel!$E$7)+(H13*[1]pollution_by_fuel!$E$6)+(I13*[1]pollution_by_fuel!$E$5)</f>
        <v>1.4142446317551212</v>
      </c>
      <c r="K13" s="166"/>
      <c r="L13" s="166"/>
    </row>
    <row r="14" spans="1:12" x14ac:dyDescent="0.3">
      <c r="A14" s="53">
        <v>2020</v>
      </c>
      <c r="B14" s="3">
        <v>7.8775898354884986E-3</v>
      </c>
      <c r="C14" s="3">
        <v>0.40293835426997893</v>
      </c>
      <c r="D14" s="3">
        <v>0.20538785609172244</v>
      </c>
      <c r="E14" s="3">
        <v>0.19324132469972063</v>
      </c>
      <c r="F14" s="3">
        <v>0.19055487510308955</v>
      </c>
      <c r="G14" s="3">
        <f t="shared" si="0"/>
        <v>1.3099388237453753E-2</v>
      </c>
      <c r="H14" s="3">
        <f t="shared" si="1"/>
        <v>0.67003310004345062</v>
      </c>
      <c r="I14" s="3">
        <f t="shared" si="2"/>
        <v>0.31686751171909561</v>
      </c>
      <c r="J14" s="171">
        <f>(G14*[1]pollution_by_fuel!$E$7)+(H14*[1]pollution_by_fuel!$E$6)+(I14*[1]pollution_by_fuel!$E$5)</f>
        <v>1.3379090188845177</v>
      </c>
      <c r="K14" s="166"/>
      <c r="L14" s="166"/>
    </row>
    <row r="15" spans="1:12" x14ac:dyDescent="0.3">
      <c r="A15" s="53">
        <v>2021</v>
      </c>
      <c r="B15" s="3">
        <v>6.8593201828761078E-3</v>
      </c>
      <c r="C15" s="3">
        <v>0.34941902400086533</v>
      </c>
      <c r="D15" s="3">
        <v>0.2272255655879552</v>
      </c>
      <c r="E15" s="3">
        <v>0.18608710620843733</v>
      </c>
      <c r="F15" s="3">
        <v>0.23040898401986609</v>
      </c>
      <c r="G15" s="3">
        <f t="shared" si="0"/>
        <v>1.169161127764397E-2</v>
      </c>
      <c r="H15" s="3">
        <f t="shared" si="1"/>
        <v>0.59557963365385791</v>
      </c>
      <c r="I15" s="3">
        <f t="shared" si="2"/>
        <v>0.39272875506849797</v>
      </c>
      <c r="J15" s="171">
        <f>(G15*[1]pollution_by_fuel!$E$7)+(H15*[1]pollution_by_fuel!$E$6)+(I15*[1]pollution_by_fuel!$E$5)</f>
        <v>1.4348111473477729</v>
      </c>
      <c r="K15" s="166"/>
      <c r="L15" s="166"/>
    </row>
    <row r="16" spans="1:12" x14ac:dyDescent="0.3">
      <c r="A16" s="53">
        <v>2022</v>
      </c>
      <c r="B16" s="3">
        <v>6.9140438359453632E-3</v>
      </c>
      <c r="C16" s="3">
        <v>0.34301195147349178</v>
      </c>
      <c r="D16" s="3">
        <v>0.23595366200711532</v>
      </c>
      <c r="E16" s="3">
        <v>0.17639776502131665</v>
      </c>
      <c r="F16" s="3">
        <v>0.23772257766213081</v>
      </c>
      <c r="G16" s="3">
        <f t="shared" si="0"/>
        <v>1.1765609845665164E-2</v>
      </c>
      <c r="H16" s="3">
        <f t="shared" si="1"/>
        <v>0.5837025175420405</v>
      </c>
      <c r="I16" s="3">
        <f t="shared" si="2"/>
        <v>0.40453187261229417</v>
      </c>
      <c r="J16" s="171">
        <f>(G16*[1]pollution_by_fuel!$E$7)+(H16*[1]pollution_by_fuel!$E$6)+(I16*[1]pollution_by_fuel!$E$5)</f>
        <v>1.4502454784076937</v>
      </c>
      <c r="K16" s="166"/>
      <c r="L16" s="166"/>
    </row>
    <row r="17" spans="1:12" x14ac:dyDescent="0.3">
      <c r="A17" s="53">
        <v>2023</v>
      </c>
      <c r="B17" s="3">
        <v>6.6551882865944238E-3</v>
      </c>
      <c r="C17" s="3">
        <v>0.35338020706976464</v>
      </c>
      <c r="D17" s="3">
        <v>0.25657127068720265</v>
      </c>
      <c r="E17" s="3">
        <v>0.17727956410442991</v>
      </c>
      <c r="F17" s="3">
        <v>0.20611376985200827</v>
      </c>
      <c r="G17" s="3">
        <f t="shared" si="0"/>
        <v>1.1755185197782686E-2</v>
      </c>
      <c r="H17" s="3">
        <f t="shared" si="1"/>
        <v>0.62418215690507195</v>
      </c>
      <c r="I17" s="3">
        <f t="shared" si="2"/>
        <v>0.36406265789714537</v>
      </c>
      <c r="J17" s="171">
        <f>(G17*[1]pollution_by_fuel!$E$7)+(H17*[1]pollution_by_fuel!$E$6)+(I17*[1]pollution_by_fuel!$E$5)</f>
        <v>1.3976227812075837</v>
      </c>
      <c r="K17" s="166"/>
      <c r="L17" s="166"/>
    </row>
    <row r="18" spans="1:12" x14ac:dyDescent="0.3">
      <c r="A18" s="53">
        <v>2024</v>
      </c>
      <c r="B18" s="3">
        <v>6.42766807303451E-3</v>
      </c>
      <c r="C18" s="3">
        <v>0.34700324166029844</v>
      </c>
      <c r="D18" s="3">
        <v>0.28816366535872801</v>
      </c>
      <c r="E18" s="3">
        <v>0.17598751116766906</v>
      </c>
      <c r="F18" s="3">
        <v>0.1824179137402698</v>
      </c>
      <c r="G18" s="3">
        <f t="shared" si="0"/>
        <v>1.199530127054791E-2</v>
      </c>
      <c r="H18" s="3">
        <f t="shared" si="1"/>
        <v>0.64757675385171898</v>
      </c>
      <c r="I18" s="3">
        <f t="shared" si="2"/>
        <v>0.34042794487773315</v>
      </c>
      <c r="J18" s="171">
        <f>(G18*[1]pollution_by_fuel!$E$7)+(H18*[1]pollution_by_fuel!$E$6)+(I18*[1]pollution_by_fuel!$E$5)</f>
        <v>1.3671905958911217</v>
      </c>
      <c r="K18" s="166"/>
      <c r="L18" s="166"/>
    </row>
    <row r="19" spans="1:12" x14ac:dyDescent="0.3">
      <c r="A19" s="53">
        <v>2025</v>
      </c>
      <c r="B19" s="3">
        <v>6.2765202342227591E-3</v>
      </c>
      <c r="C19" s="3">
        <v>0.35758910332128024</v>
      </c>
      <c r="D19" s="3">
        <v>0.30143607893209395</v>
      </c>
      <c r="E19" s="3">
        <v>0.17179062152465618</v>
      </c>
      <c r="F19" s="3">
        <v>0.16290767598774686</v>
      </c>
      <c r="G19" s="3">
        <f t="shared" si="0"/>
        <v>1.1915031076299711E-2</v>
      </c>
      <c r="H19" s="3">
        <f t="shared" si="1"/>
        <v>0.67882921103126437</v>
      </c>
      <c r="I19" s="3">
        <f t="shared" si="2"/>
        <v>0.30925575789243581</v>
      </c>
      <c r="J19" s="171">
        <f>(G19*[1]pollution_by_fuel!$E$7)+(H19*[1]pollution_by_fuel!$E$6)+(I19*[1]pollution_by_fuel!$E$5)</f>
        <v>1.3265688231732522</v>
      </c>
      <c r="K19" s="166"/>
      <c r="L19" s="166"/>
    </row>
    <row r="20" spans="1:12" x14ac:dyDescent="0.3">
      <c r="A20" s="53">
        <v>2026</v>
      </c>
      <c r="B20" s="3">
        <v>6.1092702936127131E-3</v>
      </c>
      <c r="C20" s="3">
        <v>0.36377702069686785</v>
      </c>
      <c r="D20" s="3">
        <v>0.31359297559684074</v>
      </c>
      <c r="E20" s="3">
        <v>0.15089792368712035</v>
      </c>
      <c r="F20" s="3">
        <v>0.16562280972555837</v>
      </c>
      <c r="G20" s="3">
        <f t="shared" si="0"/>
        <v>1.1408340746112248E-2</v>
      </c>
      <c r="H20" s="3">
        <f t="shared" si="1"/>
        <v>0.67931062275217169</v>
      </c>
      <c r="I20" s="3">
        <f t="shared" si="2"/>
        <v>0.30928103650171601</v>
      </c>
      <c r="J20" s="171">
        <f>(G20*[1]pollution_by_fuel!$E$7)+(H20*[1]pollution_by_fuel!$E$6)+(I20*[1]pollution_by_fuel!$E$5)</f>
        <v>1.3259835231624877</v>
      </c>
      <c r="K20" s="166"/>
      <c r="L20" s="166"/>
    </row>
    <row r="21" spans="1:12" x14ac:dyDescent="0.3">
      <c r="A21" s="53">
        <v>2027</v>
      </c>
      <c r="B21" s="3">
        <v>5.9470413098812701E-3</v>
      </c>
      <c r="C21" s="3">
        <v>0.36436160467812756</v>
      </c>
      <c r="D21" s="3">
        <v>0.32390535436908069</v>
      </c>
      <c r="E21" s="3">
        <v>0.14679451561551909</v>
      </c>
      <c r="F21" s="3">
        <v>0.15899148402739141</v>
      </c>
      <c r="G21" s="3">
        <f t="shared" si="0"/>
        <v>1.1235669467355389E-2</v>
      </c>
      <c r="H21" s="3">
        <f t="shared" si="1"/>
        <v>0.68838374301462257</v>
      </c>
      <c r="I21" s="3">
        <f t="shared" si="2"/>
        <v>0.3003805875180221</v>
      </c>
      <c r="J21" s="171">
        <f>(G21*[1]pollution_by_fuel!$E$7)+(H21*[1]pollution_by_fuel!$E$6)+(I21*[1]pollution_by_fuel!$E$5)</f>
        <v>1.3142022805236024</v>
      </c>
      <c r="K21" s="166"/>
      <c r="L21" s="166"/>
    </row>
    <row r="22" spans="1:12" x14ac:dyDescent="0.3">
      <c r="A22" s="53">
        <v>2028</v>
      </c>
      <c r="B22" s="3">
        <v>5.8264176229183727E-3</v>
      </c>
      <c r="C22" s="3">
        <v>0.35832653000720643</v>
      </c>
      <c r="D22" s="3">
        <v>0.3306688978173638</v>
      </c>
      <c r="E22" s="3">
        <v>0.14600831192976957</v>
      </c>
      <c r="F22" s="3">
        <v>0.15916984262274181</v>
      </c>
      <c r="G22" s="3">
        <f t="shared" si="0"/>
        <v>1.1133506377780876E-2</v>
      </c>
      <c r="H22" s="3">
        <f t="shared" si="1"/>
        <v>0.68471417007095203</v>
      </c>
      <c r="I22" s="3">
        <f t="shared" si="2"/>
        <v>0.3041523235512672</v>
      </c>
      <c r="J22" s="171">
        <f>(G22*[1]pollution_by_fuel!$E$7)+(H22*[1]pollution_by_fuel!$E$6)+(I22*[1]pollution_by_fuel!$E$5)</f>
        <v>1.3189808983975402</v>
      </c>
      <c r="K22" s="166"/>
      <c r="L22" s="166"/>
    </row>
    <row r="23" spans="1:12" x14ac:dyDescent="0.3">
      <c r="A23" s="53">
        <v>2029</v>
      </c>
      <c r="B23" s="3">
        <v>5.6613063451512666E-3</v>
      </c>
      <c r="C23" s="3">
        <v>0.35592209246601342</v>
      </c>
      <c r="D23" s="3">
        <v>0.33838905689604587</v>
      </c>
      <c r="E23" s="3">
        <v>0.14150946570641473</v>
      </c>
      <c r="F23" s="3">
        <v>0.15851807858637473</v>
      </c>
      <c r="G23" s="3">
        <f t="shared" si="0"/>
        <v>1.0885003391028726E-2</v>
      </c>
      <c r="H23" s="3">
        <f t="shared" si="1"/>
        <v>0.68433201583460312</v>
      </c>
      <c r="I23" s="3">
        <f t="shared" si="2"/>
        <v>0.30478298077436816</v>
      </c>
      <c r="J23" s="171">
        <f>(G23*[1]pollution_by_fuel!$E$7)+(H23*[1]pollution_by_fuel!$E$6)+(I23*[1]pollution_by_fuel!$E$5)</f>
        <v>1.3194975791437338</v>
      </c>
      <c r="K23" s="166"/>
      <c r="L23" s="166"/>
    </row>
    <row r="24" spans="1:12" x14ac:dyDescent="0.3">
      <c r="A24" s="53">
        <v>2030</v>
      </c>
      <c r="B24" s="3">
        <v>5.5694822705348096E-3</v>
      </c>
      <c r="C24" s="3">
        <v>0.34905466256871381</v>
      </c>
      <c r="D24" s="3">
        <v>0.34906161852771306</v>
      </c>
      <c r="E24" s="3">
        <v>0.14084156642689638</v>
      </c>
      <c r="F24" s="3">
        <v>0.15547267020614186</v>
      </c>
      <c r="G24" s="3">
        <f t="shared" si="0"/>
        <v>1.09184807790639E-2</v>
      </c>
      <c r="H24" s="3">
        <f t="shared" si="1"/>
        <v>0.6842910056939947</v>
      </c>
      <c r="I24" s="3">
        <f t="shared" si="2"/>
        <v>0.30479051352694153</v>
      </c>
      <c r="J24" s="171">
        <f>(G24*[1]pollution_by_fuel!$E$7)+(H24*[1]pollution_by_fuel!$E$6)+(I24*[1]pollution_by_fuel!$E$5)</f>
        <v>1.319548214135482</v>
      </c>
      <c r="K24" s="166"/>
      <c r="L24" s="166"/>
    </row>
    <row r="25" spans="1:12" x14ac:dyDescent="0.3">
      <c r="A25" s="53">
        <v>2031</v>
      </c>
      <c r="B25" s="3">
        <v>5.4171392466717799E-3</v>
      </c>
      <c r="C25" s="3">
        <v>0.34894620399076259</v>
      </c>
      <c r="D25" s="3">
        <v>0.35417845777022694</v>
      </c>
      <c r="E25" s="3">
        <v>0.13994833320662858</v>
      </c>
      <c r="F25" s="3">
        <v>0.1515098657857101</v>
      </c>
      <c r="G25" s="3">
        <f t="shared" si="0"/>
        <v>1.070849206885739E-2</v>
      </c>
      <c r="H25" s="3">
        <f t="shared" si="1"/>
        <v>0.68978984806210164</v>
      </c>
      <c r="I25" s="3">
        <f t="shared" si="2"/>
        <v>0.29950165986904098</v>
      </c>
      <c r="J25" s="171">
        <f>(G25*[1]pollution_by_fuel!$E$7)+(H25*[1]pollution_by_fuel!$E$6)+(I25*[1]pollution_by_fuel!$E$5)</f>
        <v>1.3124165181537593</v>
      </c>
      <c r="K25" s="166"/>
      <c r="L25" s="166"/>
    </row>
    <row r="26" spans="1:12" x14ac:dyDescent="0.3">
      <c r="A26" s="53">
        <v>2032</v>
      </c>
      <c r="B26" s="3">
        <v>5.3581313236026008E-3</v>
      </c>
      <c r="C26" s="3">
        <v>0.34793895869389868</v>
      </c>
      <c r="D26" s="3">
        <v>0.35964993196383704</v>
      </c>
      <c r="E26" s="3">
        <v>0.13923116714210029</v>
      </c>
      <c r="F26" s="3">
        <v>0.14782181087656149</v>
      </c>
      <c r="G26" s="3">
        <f t="shared" si="0"/>
        <v>1.0692335320106629E-2</v>
      </c>
      <c r="H26" s="3">
        <f t="shared" si="1"/>
        <v>0.69432415754650112</v>
      </c>
      <c r="I26" s="3">
        <f t="shared" si="2"/>
        <v>0.29498350713339233</v>
      </c>
      <c r="J26" s="171">
        <f>(G26*[1]pollution_by_fuel!$E$7)+(H26*[1]pollution_by_fuel!$E$6)+(I26*[1]pollution_by_fuel!$E$5)</f>
        <v>1.3065232083639402</v>
      </c>
      <c r="K26" s="166"/>
      <c r="L26" s="166"/>
    </row>
    <row r="27" spans="1:12" x14ac:dyDescent="0.3">
      <c r="A27" s="53">
        <v>2033</v>
      </c>
      <c r="B27" s="3">
        <v>5.2938206542921841E-3</v>
      </c>
      <c r="C27" s="3">
        <v>0.3464240558741109</v>
      </c>
      <c r="D27" s="3">
        <v>0.3652936820815661</v>
      </c>
      <c r="E27" s="3">
        <v>0.13651731389358296</v>
      </c>
      <c r="F27" s="3">
        <v>0.14647112749644778</v>
      </c>
      <c r="G27" s="3">
        <f t="shared" si="0"/>
        <v>1.0626129062511615E-2</v>
      </c>
      <c r="H27" s="3">
        <f t="shared" si="1"/>
        <v>0.69536672442660019</v>
      </c>
      <c r="I27" s="3">
        <f t="shared" si="2"/>
        <v>0.29400714651088816</v>
      </c>
      <c r="J27" s="171">
        <f>(G27*[1]pollution_by_fuel!$E$7)+(H27*[1]pollution_by_fuel!$E$6)+(I27*[1]pollution_by_fuel!$E$5)</f>
        <v>1.3051731679204188</v>
      </c>
      <c r="K27" s="166"/>
      <c r="L27" s="166"/>
    </row>
    <row r="28" spans="1:12" x14ac:dyDescent="0.3">
      <c r="A28" s="53">
        <v>2034</v>
      </c>
      <c r="B28" s="3">
        <v>5.2431229913636052E-3</v>
      </c>
      <c r="C28" s="3">
        <v>0.34551185055461209</v>
      </c>
      <c r="D28" s="3">
        <v>0.37239748891245689</v>
      </c>
      <c r="E28" s="3">
        <v>0.13183512738850953</v>
      </c>
      <c r="F28" s="3">
        <v>0.14501241015305796</v>
      </c>
      <c r="G28" s="3">
        <f t="shared" si="0"/>
        <v>1.0575772355662988E-2</v>
      </c>
      <c r="H28" s="3">
        <f t="shared" si="1"/>
        <v>0.69692331911121153</v>
      </c>
      <c r="I28" s="3">
        <f t="shared" si="2"/>
        <v>0.29250090853312544</v>
      </c>
      <c r="J28" s="171">
        <f>(G28*[1]pollution_by_fuel!$E$7)+(H28*[1]pollution_by_fuel!$E$6)+(I28*[1]pollution_by_fuel!$E$5)</f>
        <v>1.3031536233669718</v>
      </c>
      <c r="K28" s="166"/>
      <c r="L28" s="166"/>
    </row>
    <row r="29" spans="1:12" x14ac:dyDescent="0.3">
      <c r="A29" s="53">
        <v>2035</v>
      </c>
      <c r="B29" s="3">
        <v>5.1308607715096427E-3</v>
      </c>
      <c r="C29" s="3">
        <v>0.34069568591309779</v>
      </c>
      <c r="D29" s="3">
        <v>0.38254435379253876</v>
      </c>
      <c r="E29" s="3">
        <v>0.13101727276122474</v>
      </c>
      <c r="F29" s="3">
        <v>0.14061182676162898</v>
      </c>
      <c r="G29" s="3">
        <f t="shared" si="0"/>
        <v>1.0547812532057015E-2</v>
      </c>
      <c r="H29" s="3">
        <f t="shared" si="1"/>
        <v>0.70038817764189643</v>
      </c>
      <c r="I29" s="3">
        <f t="shared" si="2"/>
        <v>0.28906400982604652</v>
      </c>
      <c r="J29" s="171">
        <f>(G29*[1]pollution_by_fuel!$E$7)+(H29*[1]pollution_by_fuel!$E$6)+(I29*[1]pollution_by_fuel!$E$5)</f>
        <v>1.29865154406297</v>
      </c>
      <c r="K29" s="166"/>
      <c r="L29" s="166"/>
    </row>
    <row r="30" spans="1:12" x14ac:dyDescent="0.3">
      <c r="A30" s="53">
        <v>2036</v>
      </c>
      <c r="B30" s="3">
        <v>5.0551242960339858E-3</v>
      </c>
      <c r="C30" s="3">
        <v>0.33975555078754144</v>
      </c>
      <c r="D30" s="3">
        <v>0.38762103199942788</v>
      </c>
      <c r="E30" s="3">
        <v>0.1284591435301963</v>
      </c>
      <c r="F30" s="3">
        <v>0.13910914938680038</v>
      </c>
      <c r="G30" s="3">
        <f t="shared" si="0"/>
        <v>1.0446202119465857E-2</v>
      </c>
      <c r="H30" s="3">
        <f t="shared" si="1"/>
        <v>0.70209058113993494</v>
      </c>
      <c r="I30" s="3">
        <f t="shared" si="2"/>
        <v>0.28746321674059927</v>
      </c>
      <c r="J30" s="171">
        <f>(G30*[1]pollution_by_fuel!$E$7)+(H30*[1]pollution_by_fuel!$E$6)+(I30*[1]pollution_by_fuel!$E$5)</f>
        <v>1.2964465483485275</v>
      </c>
      <c r="K30" s="166"/>
      <c r="L30" s="166"/>
    </row>
    <row r="31" spans="1:12" x14ac:dyDescent="0.3">
      <c r="A31" s="53">
        <v>2037</v>
      </c>
      <c r="B31" s="3">
        <v>4.9850388285590987E-3</v>
      </c>
      <c r="C31" s="3">
        <v>0.34131778286535491</v>
      </c>
      <c r="D31" s="3">
        <v>0.39048243474963018</v>
      </c>
      <c r="E31" s="3">
        <v>0.12731734879421963</v>
      </c>
      <c r="F31" s="3">
        <v>0.13589739476223608</v>
      </c>
      <c r="G31" s="3">
        <f t="shared" si="0"/>
        <v>1.0338109893844115E-2</v>
      </c>
      <c r="H31" s="3">
        <f t="shared" si="1"/>
        <v>0.70783415522666682</v>
      </c>
      <c r="I31" s="3">
        <f t="shared" si="2"/>
        <v>0.28182773487948898</v>
      </c>
      <c r="J31" s="171">
        <f>(G31*[1]pollution_by_fuel!$E$7)+(H31*[1]pollution_by_fuel!$E$6)+(I31*[1]pollution_by_fuel!$E$5)</f>
        <v>1.2889885494138253</v>
      </c>
      <c r="K31" s="166"/>
      <c r="L31" s="166"/>
    </row>
    <row r="32" spans="1:12" x14ac:dyDescent="0.3">
      <c r="A32" s="53">
        <v>2038</v>
      </c>
      <c r="B32" s="3">
        <v>4.8711718141295829E-3</v>
      </c>
      <c r="C32" s="3">
        <v>0.34473762459206353</v>
      </c>
      <c r="D32" s="3">
        <v>0.39319763025843346</v>
      </c>
      <c r="E32" s="3">
        <v>0.12612859423653022</v>
      </c>
      <c r="F32" s="3">
        <v>0.13106497909884324</v>
      </c>
      <c r="G32" s="3">
        <f t="shared" si="0"/>
        <v>1.0134049457995746E-2</v>
      </c>
      <c r="H32" s="3">
        <f t="shared" si="1"/>
        <v>0.71719665635982144</v>
      </c>
      <c r="I32" s="3">
        <f t="shared" si="2"/>
        <v>0.27266929418218278</v>
      </c>
      <c r="J32" s="171">
        <f>(G32*[1]pollution_by_fuel!$E$7)+(H32*[1]pollution_by_fuel!$E$6)+(I32*[1]pollution_by_fuel!$E$5)</f>
        <v>1.2768336227755923</v>
      </c>
      <c r="K32" s="166"/>
      <c r="L32" s="166"/>
    </row>
    <row r="33" spans="1:12" x14ac:dyDescent="0.3">
      <c r="A33" s="53">
        <v>2039</v>
      </c>
      <c r="B33" s="3">
        <v>4.7966323525658267E-3</v>
      </c>
      <c r="C33" s="3">
        <v>0.34724312143633451</v>
      </c>
      <c r="D33" s="3">
        <v>0.39428914560388267</v>
      </c>
      <c r="E33" s="3">
        <v>0.12491775432523829</v>
      </c>
      <c r="F33" s="3">
        <v>0.12875334628197874</v>
      </c>
      <c r="G33" s="3">
        <f t="shared" si="0"/>
        <v>9.976499978595163E-3</v>
      </c>
      <c r="H33" s="3">
        <f t="shared" si="1"/>
        <v>0.72222983521423978</v>
      </c>
      <c r="I33" s="3">
        <f t="shared" si="2"/>
        <v>0.26779366480716499</v>
      </c>
      <c r="J33" s="171">
        <f>(G33*[1]pollution_by_fuel!$E$7)+(H33*[1]pollution_by_fuel!$E$6)+(I33*[1]pollution_by_fuel!$E$5)</f>
        <v>1.2703030942232005</v>
      </c>
      <c r="K33" s="166"/>
      <c r="L33" s="166"/>
    </row>
    <row r="34" spans="1:12" x14ac:dyDescent="0.3">
      <c r="A34" s="53">
        <v>2040</v>
      </c>
      <c r="B34" s="3">
        <v>4.7204682169205555E-3</v>
      </c>
      <c r="C34" s="3">
        <v>0.35032975661670934</v>
      </c>
      <c r="D34" s="3">
        <v>0.39557458740109819</v>
      </c>
      <c r="E34" s="3">
        <v>0.12211013814409137</v>
      </c>
      <c r="F34" s="3">
        <v>0.12726504962118046</v>
      </c>
      <c r="G34" s="3">
        <f t="shared" si="0"/>
        <v>9.7871008175231047E-3</v>
      </c>
      <c r="H34" s="3">
        <f t="shared" si="1"/>
        <v>0.72635011821408291</v>
      </c>
      <c r="I34" s="3">
        <f t="shared" si="2"/>
        <v>0.263862780968394</v>
      </c>
      <c r="J34" s="171">
        <f>(G34*[1]pollution_by_fuel!$E$7)+(H34*[1]pollution_by_fuel!$E$6)+(I34*[1]pollution_by_fuel!$E$5)</f>
        <v>1.2649618782562904</v>
      </c>
      <c r="K34" s="166"/>
      <c r="L34" s="166"/>
    </row>
    <row r="35" spans="1:12" x14ac:dyDescent="0.3">
      <c r="A35" s="53">
        <v>2041</v>
      </c>
      <c r="B35" s="3">
        <v>4.6086656010108102E-3</v>
      </c>
      <c r="C35" s="3">
        <v>0.35028827782176858</v>
      </c>
      <c r="D35" s="3">
        <v>0.39864537950788448</v>
      </c>
      <c r="E35" s="3">
        <v>0.12117013605742692</v>
      </c>
      <c r="F35" s="3">
        <v>0.12528754101190931</v>
      </c>
      <c r="G35" s="3">
        <f t="shared" si="0"/>
        <v>9.5976978648872786E-3</v>
      </c>
      <c r="H35" s="3">
        <f t="shared" si="1"/>
        <v>0.72948687260096656</v>
      </c>
      <c r="I35" s="3">
        <f t="shared" si="2"/>
        <v>0.26091542953414615</v>
      </c>
      <c r="J35" s="171">
        <f>(G35*[1]pollution_by_fuel!$E$7)+(H35*[1]pollution_by_fuel!$E$6)+(I35*[1]pollution_by_fuel!$E$5)</f>
        <v>1.2608992497895524</v>
      </c>
      <c r="K35" s="166"/>
      <c r="L35" s="166"/>
    </row>
    <row r="36" spans="1:12" x14ac:dyDescent="0.3">
      <c r="A36" s="53">
        <v>2042</v>
      </c>
      <c r="B36" s="3">
        <v>4.4892297982330655E-3</v>
      </c>
      <c r="C36" s="3">
        <v>0.35193881136188365</v>
      </c>
      <c r="D36" s="3">
        <v>0.39948150160063395</v>
      </c>
      <c r="E36" s="3">
        <v>0.12006003702682323</v>
      </c>
      <c r="F36" s="3">
        <v>0.12403042021242613</v>
      </c>
      <c r="G36" s="3">
        <f t="shared" si="0"/>
        <v>9.3436377109657343E-3</v>
      </c>
      <c r="H36" s="3">
        <f t="shared" si="1"/>
        <v>0.73250621990606113</v>
      </c>
      <c r="I36" s="3">
        <f t="shared" si="2"/>
        <v>0.25815014238297312</v>
      </c>
      <c r="J36" s="171">
        <f>(G36*[1]pollution_by_fuel!$E$7)+(H36*[1]pollution_by_fuel!$E$6)+(I36*[1]pollution_by_fuel!$E$5)</f>
        <v>1.2569944231052432</v>
      </c>
      <c r="K36" s="166"/>
      <c r="L36" s="166"/>
    </row>
    <row r="37" spans="1:12" x14ac:dyDescent="0.3">
      <c r="A37" s="53">
        <v>2043</v>
      </c>
      <c r="B37" s="3">
        <v>4.3477776920011211E-3</v>
      </c>
      <c r="C37" s="3">
        <v>0.35500461827862817</v>
      </c>
      <c r="D37" s="3">
        <v>0.40050912193390092</v>
      </c>
      <c r="E37" s="3">
        <v>0.11885318612019356</v>
      </c>
      <c r="F37" s="3">
        <v>0.12128529597527614</v>
      </c>
      <c r="G37" s="3">
        <f t="shared" si="0"/>
        <v>9.0458525514275565E-3</v>
      </c>
      <c r="H37" s="3">
        <f t="shared" si="1"/>
        <v>0.73861169073394906</v>
      </c>
      <c r="I37" s="3">
        <f t="shared" si="2"/>
        <v>0.25234245671462341</v>
      </c>
      <c r="J37" s="171">
        <f>(G37*[1]pollution_by_fuel!$E$7)+(H37*[1]pollution_by_fuel!$E$6)+(I37*[1]pollution_by_fuel!$E$5)</f>
        <v>1.249081133841752</v>
      </c>
      <c r="K37" s="166"/>
      <c r="L37" s="166"/>
    </row>
    <row r="38" spans="1:12" x14ac:dyDescent="0.3">
      <c r="A38" s="53">
        <v>2044</v>
      </c>
      <c r="B38" s="3">
        <v>4.2087919380767325E-3</v>
      </c>
      <c r="C38" s="3">
        <v>0.35653174832123458</v>
      </c>
      <c r="D38" s="3">
        <v>0.40254281010907983</v>
      </c>
      <c r="E38" s="3">
        <v>0.11769638608119548</v>
      </c>
      <c r="F38" s="3">
        <v>0.11902026355041334</v>
      </c>
      <c r="G38" s="3">
        <f t="shared" si="0"/>
        <v>8.7726881909801855E-3</v>
      </c>
      <c r="H38" s="3">
        <f t="shared" si="1"/>
        <v>0.74314480359807955</v>
      </c>
      <c r="I38" s="3">
        <f t="shared" si="2"/>
        <v>0.24808250821094033</v>
      </c>
      <c r="J38" s="171">
        <f>(G38*[1]pollution_by_fuel!$E$7)+(H38*[1]pollution_by_fuel!$E$6)+(I38*[1]pollution_by_fuel!$E$5)</f>
        <v>1.2432099402672185</v>
      </c>
      <c r="K38" s="166"/>
      <c r="L38" s="166"/>
    </row>
    <row r="39" spans="1:12" x14ac:dyDescent="0.3">
      <c r="A39" s="53">
        <v>2045</v>
      </c>
      <c r="B39" s="3">
        <v>4.0588588642922838E-3</v>
      </c>
      <c r="C39" s="3">
        <v>0.35782251297347339</v>
      </c>
      <c r="D39" s="3">
        <v>0.40621619056557084</v>
      </c>
      <c r="E39" s="3">
        <v>0.11657703258351766</v>
      </c>
      <c r="F39" s="3">
        <v>0.11532540501314588</v>
      </c>
      <c r="G39" s="3">
        <f t="shared" si="0"/>
        <v>8.50545101449879E-3</v>
      </c>
      <c r="H39" s="3">
        <f t="shared" si="1"/>
        <v>0.74982697298379719</v>
      </c>
      <c r="I39" s="3">
        <f t="shared" si="2"/>
        <v>0.24166757600170402</v>
      </c>
      <c r="J39" s="171">
        <f>(G39*[1]pollution_by_fuel!$E$7)+(H39*[1]pollution_by_fuel!$E$6)+(I39*[1]pollution_by_fuel!$E$5)</f>
        <v>1.2345444990399037</v>
      </c>
      <c r="K39" s="166"/>
      <c r="L39" s="166"/>
    </row>
    <row r="40" spans="1:12" x14ac:dyDescent="0.3">
      <c r="A40" s="53">
        <v>2046</v>
      </c>
      <c r="B40" s="3">
        <v>3.9323577115041655E-3</v>
      </c>
      <c r="C40" s="3">
        <v>0.35631693321713209</v>
      </c>
      <c r="D40" s="3">
        <v>0.41080815309847829</v>
      </c>
      <c r="E40" s="3">
        <v>0.11535424134278997</v>
      </c>
      <c r="F40" s="3">
        <v>0.11358831463009546</v>
      </c>
      <c r="G40" s="3">
        <f t="shared" si="0"/>
        <v>8.2989565736710045E-3</v>
      </c>
      <c r="H40" s="3">
        <f t="shared" si="1"/>
        <v>0.75198111976987636</v>
      </c>
      <c r="I40" s="3">
        <f t="shared" si="2"/>
        <v>0.23971992365645259</v>
      </c>
      <c r="J40" s="171">
        <f>(G40*[1]pollution_by_fuel!$E$7)+(H40*[1]pollution_by_fuel!$E$6)+(I40*[1]pollution_by_fuel!$E$5)</f>
        <v>1.2317606277732671</v>
      </c>
      <c r="K40" s="166"/>
      <c r="L40" s="166"/>
    </row>
    <row r="41" spans="1:12" x14ac:dyDescent="0.3">
      <c r="A41" s="53">
        <v>2047</v>
      </c>
      <c r="B41" s="3">
        <v>3.8747084000179169E-3</v>
      </c>
      <c r="C41" s="3">
        <v>0.35555393066292734</v>
      </c>
      <c r="D41" s="3">
        <v>0.41576988005682275</v>
      </c>
      <c r="E41" s="3">
        <v>0.11265930547868648</v>
      </c>
      <c r="F41" s="3">
        <v>0.1121421754015455</v>
      </c>
      <c r="G41" s="3">
        <f t="shared" si="0"/>
        <v>8.2165992490819892E-3</v>
      </c>
      <c r="H41" s="3">
        <f t="shared" si="1"/>
        <v>0.75397781151212551</v>
      </c>
      <c r="I41" s="3">
        <f t="shared" si="2"/>
        <v>0.23780558923879244</v>
      </c>
      <c r="J41" s="171">
        <f>(G41*[1]pollution_by_fuel!$E$7)+(H41*[1]pollution_by_fuel!$E$6)+(I41*[1]pollution_by_fuel!$E$5)</f>
        <v>1.2291715170943101</v>
      </c>
      <c r="K41" s="166"/>
      <c r="L41" s="166"/>
    </row>
    <row r="42" spans="1:12" x14ac:dyDescent="0.3">
      <c r="A42" s="53">
        <v>2048</v>
      </c>
      <c r="B42" s="3">
        <v>3.8237531649963396E-3</v>
      </c>
      <c r="C42" s="3">
        <v>0.3560637346391658</v>
      </c>
      <c r="D42" s="3">
        <v>0.41735647834037531</v>
      </c>
      <c r="E42" s="3">
        <v>0.11139620175083755</v>
      </c>
      <c r="F42" s="3">
        <v>0.11135983210462512</v>
      </c>
      <c r="G42" s="3">
        <f t="shared" si="0"/>
        <v>8.1141112181528155E-3</v>
      </c>
      <c r="H42" s="3">
        <f t="shared" si="1"/>
        <v>0.75557720881698398</v>
      </c>
      <c r="I42" s="3">
        <f t="shared" si="2"/>
        <v>0.23630867996486321</v>
      </c>
      <c r="J42" s="171">
        <f>(G42*[1]pollution_by_fuel!$E$7)+(H42*[1]pollution_by_fuel!$E$6)+(I42*[1]pollution_by_fuel!$E$5)</f>
        <v>1.2271004996404686</v>
      </c>
      <c r="K42" s="166"/>
      <c r="L42" s="166"/>
    </row>
    <row r="43" spans="1:12" x14ac:dyDescent="0.3">
      <c r="A43" s="53">
        <v>2049</v>
      </c>
      <c r="B43" s="3">
        <v>3.7483356509372362E-3</v>
      </c>
      <c r="C43" s="3">
        <v>0.35667804259664943</v>
      </c>
      <c r="D43" s="3">
        <v>0.41910547620104155</v>
      </c>
      <c r="E43" s="3">
        <v>0.11007155901300811</v>
      </c>
      <c r="F43" s="3">
        <v>0.11039658653836351</v>
      </c>
      <c r="G43" s="3">
        <f t="shared" si="0"/>
        <v>7.9612421892830531E-3</v>
      </c>
      <c r="H43" s="3">
        <f t="shared" si="1"/>
        <v>0.75756296798055645</v>
      </c>
      <c r="I43" s="3">
        <f t="shared" si="2"/>
        <v>0.23447578983016049</v>
      </c>
      <c r="J43" s="171">
        <f>(G43*[1]pollution_by_fuel!$E$7)+(H43*[1]pollution_by_fuel!$E$6)+(I43*[1]pollution_by_fuel!$E$5)</f>
        <v>1.224531242250134</v>
      </c>
      <c r="K43" s="166"/>
      <c r="L43" s="166"/>
    </row>
    <row r="44" spans="1:12" ht="15" thickBot="1" x14ac:dyDescent="0.35">
      <c r="A44" s="55">
        <v>2050</v>
      </c>
      <c r="B44" s="76">
        <v>3.6401644049719644E-3</v>
      </c>
      <c r="C44" s="76">
        <v>0.35786758151380654</v>
      </c>
      <c r="D44" s="76">
        <v>0.42102713619562759</v>
      </c>
      <c r="E44" s="76">
        <v>0.10876152400307899</v>
      </c>
      <c r="F44" s="76">
        <v>0.10870359388251484</v>
      </c>
      <c r="G44" s="76">
        <f t="shared" si="0"/>
        <v>7.7415495902550162E-3</v>
      </c>
      <c r="H44" s="76">
        <f t="shared" si="1"/>
        <v>0.76107816043959697</v>
      </c>
      <c r="I44" s="76">
        <f t="shared" si="2"/>
        <v>0.23118028997014811</v>
      </c>
      <c r="J44" s="172">
        <f>(G44*[1]pollution_by_fuel!$E$7)+(H44*[1]pollution_by_fuel!$E$6)+(I44*[1]pollution_by_fuel!$E$5)</f>
        <v>1.2199790674613038</v>
      </c>
      <c r="K44" s="166"/>
      <c r="L44" s="166"/>
    </row>
    <row r="45" spans="1:12" x14ac:dyDescent="0.3">
      <c r="A45" t="s">
        <v>40</v>
      </c>
      <c r="B45" s="44" t="s">
        <v>74</v>
      </c>
      <c r="C45" t="s">
        <v>61</v>
      </c>
      <c r="G45" s="99"/>
      <c r="H45" s="99"/>
      <c r="I45" s="99"/>
    </row>
    <row r="46" spans="1:12" x14ac:dyDescent="0.3">
      <c r="A46" s="85" t="s">
        <v>83</v>
      </c>
      <c r="G46" s="99"/>
      <c r="H46" s="99"/>
      <c r="I46" s="9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Method</vt:lpstr>
      <vt:lpstr>Input_values</vt:lpstr>
      <vt:lpstr>Test_data</vt:lpstr>
      <vt:lpstr>Base_case</vt:lpstr>
      <vt:lpstr>2030</vt:lpstr>
      <vt:lpstr>2035</vt:lpstr>
      <vt:lpstr>Emission differences</vt:lpstr>
      <vt:lpstr>Graphs</vt:lpstr>
      <vt:lpstr>model_energy_weight_us_ca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Envy</dc:creator>
  <cp:lastModifiedBy>HP Envy</cp:lastModifiedBy>
  <dcterms:created xsi:type="dcterms:W3CDTF">2021-01-31T01:42:08Z</dcterms:created>
  <dcterms:modified xsi:type="dcterms:W3CDTF">2021-07-16T14:35:06Z</dcterms:modified>
</cp:coreProperties>
</file>