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nvy\Dropbox\Gas_Subsidy_Model\"/>
    </mc:Choice>
  </mc:AlternateContent>
  <xr:revisionPtr revIDLastSave="0" documentId="13_ncr:1_{4EA72391-939D-49C1-8BF5-9ECC2392FB07}" xr6:coauthVersionLast="47" xr6:coauthVersionMax="47" xr10:uidLastSave="{00000000-0000-0000-0000-000000000000}"/>
  <bookViews>
    <workbookView xWindow="22932" yWindow="-108" windowWidth="23256" windowHeight="12576" activeTab="1" xr2:uid="{53FA512D-EF58-4871-8C8F-CEC6494C4903}"/>
  </bookViews>
  <sheets>
    <sheet name="input_tables" sheetId="5" r:id="rId1"/>
    <sheet name="input_output" sheetId="3" r:id="rId2"/>
    <sheet name="model" sheetId="2" r:id="rId3"/>
    <sheet name="outcome_graphs" sheetId="10" r:id="rId4"/>
    <sheet name="financials" sheetId="8" r:id="rId5"/>
    <sheet name="examples" sheetId="9" r:id="rId6"/>
    <sheet name="assumptions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B7" i="3"/>
  <c r="AD44" i="5" l="1"/>
  <c r="AC44" i="5"/>
  <c r="AB44" i="5"/>
  <c r="AE44" i="5" s="1"/>
  <c r="AD43" i="5"/>
  <c r="AC43" i="5"/>
  <c r="AB43" i="5"/>
  <c r="AE43" i="5" s="1"/>
  <c r="AD42" i="5"/>
  <c r="AC42" i="5"/>
  <c r="AB42" i="5"/>
  <c r="AE42" i="5" s="1"/>
  <c r="AD41" i="5"/>
  <c r="AC41" i="5"/>
  <c r="AB41" i="5"/>
  <c r="AE41" i="5" s="1"/>
  <c r="AD40" i="5"/>
  <c r="AC40" i="5"/>
  <c r="AB40" i="5"/>
  <c r="AE40" i="5" s="1"/>
  <c r="AD39" i="5"/>
  <c r="AC39" i="5"/>
  <c r="AB39" i="5"/>
  <c r="AE39" i="5" s="1"/>
  <c r="AD38" i="5"/>
  <c r="AC38" i="5"/>
  <c r="AB38" i="5"/>
  <c r="AE38" i="5" s="1"/>
  <c r="AD37" i="5"/>
  <c r="AC37" i="5"/>
  <c r="AB37" i="5"/>
  <c r="AE37" i="5" s="1"/>
  <c r="AD36" i="5"/>
  <c r="AC36" i="5"/>
  <c r="AB36" i="5"/>
  <c r="AE36" i="5" s="1"/>
  <c r="AD35" i="5"/>
  <c r="AC35" i="5"/>
  <c r="AB35" i="5"/>
  <c r="AE35" i="5" s="1"/>
  <c r="AD34" i="5"/>
  <c r="AC34" i="5"/>
  <c r="AB34" i="5"/>
  <c r="AE34" i="5" s="1"/>
  <c r="AD33" i="5"/>
  <c r="AC33" i="5"/>
  <c r="AB33" i="5"/>
  <c r="AE33" i="5" s="1"/>
  <c r="AD32" i="5"/>
  <c r="AC32" i="5"/>
  <c r="AB32" i="5"/>
  <c r="AE32" i="5" s="1"/>
  <c r="AD31" i="5"/>
  <c r="AC31" i="5"/>
  <c r="AB31" i="5"/>
  <c r="AE31" i="5" s="1"/>
  <c r="AD30" i="5"/>
  <c r="AC30" i="5"/>
  <c r="AB30" i="5"/>
  <c r="AE30" i="5" s="1"/>
  <c r="AD29" i="5"/>
  <c r="AC29" i="5"/>
  <c r="AB29" i="5"/>
  <c r="AE29" i="5" s="1"/>
  <c r="AD28" i="5"/>
  <c r="AC28" i="5"/>
  <c r="AB28" i="5"/>
  <c r="AE28" i="5" s="1"/>
  <c r="AD27" i="5"/>
  <c r="AC27" i="5"/>
  <c r="AB27" i="5"/>
  <c r="AE27" i="5" s="1"/>
  <c r="AD26" i="5"/>
  <c r="AC26" i="5"/>
  <c r="AB26" i="5"/>
  <c r="AE26" i="5" s="1"/>
  <c r="AD25" i="5"/>
  <c r="AC25" i="5"/>
  <c r="AB25" i="5"/>
  <c r="AE25" i="5" s="1"/>
  <c r="AD24" i="5"/>
  <c r="AC24" i="5"/>
  <c r="AB24" i="5"/>
  <c r="AE24" i="5" s="1"/>
  <c r="AD23" i="5"/>
  <c r="AC23" i="5"/>
  <c r="AB23" i="5"/>
  <c r="AE23" i="5" s="1"/>
  <c r="AD22" i="5"/>
  <c r="AC22" i="5"/>
  <c r="AB22" i="5"/>
  <c r="AE22" i="5" s="1"/>
  <c r="AD21" i="5"/>
  <c r="AC21" i="5"/>
  <c r="AB21" i="5"/>
  <c r="AE21" i="5" s="1"/>
  <c r="AD20" i="5"/>
  <c r="AC20" i="5"/>
  <c r="AB20" i="5"/>
  <c r="AE20" i="5" s="1"/>
  <c r="AD19" i="5"/>
  <c r="AC19" i="5"/>
  <c r="AB19" i="5"/>
  <c r="AE19" i="5" s="1"/>
  <c r="AD18" i="5"/>
  <c r="AC18" i="5"/>
  <c r="AB18" i="5"/>
  <c r="AE18" i="5" s="1"/>
  <c r="AD17" i="5"/>
  <c r="AC17" i="5"/>
  <c r="AB17" i="5"/>
  <c r="AE17" i="5" s="1"/>
  <c r="AD16" i="5"/>
  <c r="AC16" i="5"/>
  <c r="AB16" i="5"/>
  <c r="AE16" i="5" s="1"/>
  <c r="AD15" i="5"/>
  <c r="AC15" i="5"/>
  <c r="AB15" i="5"/>
  <c r="AE15" i="5" s="1"/>
  <c r="AD14" i="5"/>
  <c r="AC14" i="5"/>
  <c r="AB14" i="5"/>
  <c r="AE14" i="5" s="1"/>
  <c r="AD13" i="5"/>
  <c r="AC13" i="5"/>
  <c r="AB13" i="5"/>
  <c r="AE13" i="5" s="1"/>
  <c r="AD12" i="5"/>
  <c r="AC12" i="5"/>
  <c r="AB12" i="5"/>
  <c r="AE12" i="5" s="1"/>
  <c r="AD11" i="5"/>
  <c r="AC11" i="5"/>
  <c r="AB11" i="5"/>
  <c r="AE11" i="5" s="1"/>
  <c r="AD10" i="5"/>
  <c r="AC10" i="5"/>
  <c r="AB10" i="5"/>
  <c r="AE10" i="5" s="1"/>
  <c r="AD9" i="5"/>
  <c r="AC9" i="5"/>
  <c r="AB9" i="5"/>
  <c r="AE9" i="5" s="1"/>
  <c r="AD8" i="5"/>
  <c r="AC8" i="5"/>
  <c r="AB8" i="5"/>
  <c r="AE8" i="5" s="1"/>
  <c r="AD7" i="5"/>
  <c r="AC7" i="5"/>
  <c r="AB7" i="5"/>
  <c r="AE7" i="5" s="1"/>
  <c r="AD6" i="5"/>
  <c r="AC6" i="5"/>
  <c r="AB6" i="5"/>
  <c r="AE6" i="5" s="1"/>
  <c r="AD5" i="5"/>
  <c r="AC5" i="5"/>
  <c r="AB5" i="5"/>
  <c r="AE5" i="5" s="1"/>
  <c r="AD4" i="5"/>
  <c r="AC4" i="5"/>
  <c r="AB4" i="5"/>
  <c r="AE4" i="5" s="1"/>
  <c r="R36" i="5" l="1"/>
  <c r="S36" i="5"/>
  <c r="P37" i="5"/>
  <c r="R37" i="5" s="1"/>
  <c r="S37" i="5" s="1"/>
  <c r="B20" i="3"/>
  <c r="B19" i="3"/>
  <c r="P28" i="5"/>
  <c r="P29" i="5"/>
  <c r="P22" i="5"/>
  <c r="Q22" i="5"/>
  <c r="B8" i="3"/>
  <c r="B16" i="3"/>
  <c r="B4" i="9" l="1"/>
  <c r="B3" i="9"/>
  <c r="B6" i="9"/>
  <c r="B11" i="9"/>
  <c r="B12" i="9"/>
  <c r="B5" i="9"/>
  <c r="B7" i="9"/>
  <c r="B8" i="9"/>
  <c r="B9" i="9"/>
  <c r="B10" i="9"/>
  <c r="B13" i="9"/>
  <c r="B2" i="9"/>
  <c r="C12" i="9"/>
  <c r="G12" i="9" s="1"/>
  <c r="D12" i="9"/>
  <c r="E12" i="9" s="1"/>
  <c r="F12" i="9"/>
  <c r="C13" i="9"/>
  <c r="G13" i="9" s="1"/>
  <c r="D13" i="9"/>
  <c r="E13" i="9" s="1"/>
  <c r="F13" i="9"/>
  <c r="D2" i="9"/>
  <c r="E2" i="9" s="1"/>
  <c r="F2" i="9"/>
  <c r="F3" i="9"/>
  <c r="C4" i="9"/>
  <c r="G4" i="9" s="1"/>
  <c r="C5" i="9"/>
  <c r="G5" i="9" s="1"/>
  <c r="C6" i="9"/>
  <c r="G6" i="9" s="1"/>
  <c r="D8" i="9"/>
  <c r="E8" i="9" s="1"/>
  <c r="D9" i="9"/>
  <c r="E9" i="9" s="1"/>
  <c r="F9" i="9"/>
  <c r="D10" i="9"/>
  <c r="E10" i="9" s="1"/>
  <c r="F10" i="9"/>
  <c r="F11" i="9"/>
  <c r="D5" i="9"/>
  <c r="E5" i="9" s="1"/>
  <c r="F5" i="9"/>
  <c r="C8" i="9"/>
  <c r="G8" i="9" s="1"/>
  <c r="C9" i="9"/>
  <c r="G9" i="9" s="1"/>
  <c r="F8" i="9"/>
  <c r="F4" i="9"/>
  <c r="F6" i="9"/>
  <c r="F7" i="9"/>
  <c r="C7" i="9"/>
  <c r="G7" i="9" s="1"/>
  <c r="D7" i="9"/>
  <c r="E7" i="9" s="1"/>
  <c r="C10" i="9"/>
  <c r="G10" i="9" s="1"/>
  <c r="C11" i="9"/>
  <c r="G11" i="9" s="1"/>
  <c r="D11" i="9"/>
  <c r="E11" i="9" s="1"/>
  <c r="C2" i="9"/>
  <c r="G2" i="9" s="1"/>
  <c r="C3" i="9"/>
  <c r="G3" i="9" s="1"/>
  <c r="D6" i="9"/>
  <c r="E6" i="9" s="1"/>
  <c r="D3" i="9"/>
  <c r="E3" i="9" s="1"/>
  <c r="D4" i="9"/>
  <c r="E4" i="9" s="1"/>
  <c r="B6" i="3"/>
  <c r="K13" i="9" l="1"/>
  <c r="L13" i="9" s="1"/>
  <c r="M13" i="9" s="1"/>
  <c r="K4" i="9"/>
  <c r="L4" i="9" s="1"/>
  <c r="M4" i="9" s="1"/>
  <c r="K3" i="9"/>
  <c r="L3" i="9" s="1"/>
  <c r="M3" i="9" s="1"/>
  <c r="K6" i="9"/>
  <c r="L6" i="9" s="1"/>
  <c r="M6" i="9" s="1"/>
  <c r="K11" i="9"/>
  <c r="L11" i="9" s="1"/>
  <c r="M11" i="9" s="1"/>
  <c r="K7" i="9"/>
  <c r="L7" i="9" s="1"/>
  <c r="M7" i="9" s="1"/>
  <c r="K5" i="9"/>
  <c r="L5" i="9" s="1"/>
  <c r="M5" i="9" s="1"/>
  <c r="K10" i="9"/>
  <c r="L10" i="9" s="1"/>
  <c r="M10" i="9" s="1"/>
  <c r="K9" i="9"/>
  <c r="L9" i="9" s="1"/>
  <c r="M9" i="9" s="1"/>
  <c r="K8" i="9"/>
  <c r="L8" i="9" s="1"/>
  <c r="M8" i="9" s="1"/>
  <c r="K2" i="9"/>
  <c r="L2" i="9" s="1"/>
  <c r="M2" i="9" s="1"/>
  <c r="K12" i="9"/>
  <c r="L12" i="9" s="1"/>
  <c r="M12" i="9" s="1"/>
  <c r="Q20" i="5"/>
  <c r="P16" i="5"/>
  <c r="Q19" i="5" s="1"/>
  <c r="B12" i="5"/>
  <c r="B4" i="5" s="1"/>
  <c r="B5" i="5" s="1"/>
  <c r="B6" i="5" s="1"/>
  <c r="B7" i="5" s="1"/>
  <c r="B8" i="5" s="1"/>
  <c r="B9" i="5" s="1"/>
  <c r="B10" i="5" s="1"/>
  <c r="B11" i="5" s="1"/>
  <c r="C12" i="5"/>
  <c r="C4" i="5" s="1"/>
  <c r="C5" i="5" s="1"/>
  <c r="C6" i="5" s="1"/>
  <c r="C7" i="5" s="1"/>
  <c r="C8" i="5" s="1"/>
  <c r="C9" i="5" s="1"/>
  <c r="C10" i="5" s="1"/>
  <c r="C11" i="5" s="1"/>
  <c r="H12" i="2" l="1"/>
  <c r="H3" i="2"/>
  <c r="D12" i="5"/>
  <c r="D4" i="5" s="1"/>
  <c r="D5" i="5" s="1"/>
  <c r="D6" i="5" s="1"/>
  <c r="D7" i="5" s="1"/>
  <c r="D8" i="5" s="1"/>
  <c r="D9" i="5" s="1"/>
  <c r="D10" i="5" s="1"/>
  <c r="D11" i="5" s="1"/>
  <c r="E12" i="5"/>
  <c r="E4" i="5" s="1"/>
  <c r="E5" i="5" s="1"/>
  <c r="E6" i="5" s="1"/>
  <c r="E7" i="5" s="1"/>
  <c r="E8" i="5" s="1"/>
  <c r="E9" i="5" s="1"/>
  <c r="E10" i="5" s="1"/>
  <c r="E11" i="5" s="1"/>
  <c r="F12" i="5"/>
  <c r="F4" i="5" s="1"/>
  <c r="F5" i="5" s="1"/>
  <c r="F6" i="5" s="1"/>
  <c r="F7" i="5" s="1"/>
  <c r="F8" i="5" s="1"/>
  <c r="F9" i="5" s="1"/>
  <c r="F10" i="5" s="1"/>
  <c r="F11" i="5" s="1"/>
  <c r="G12" i="5"/>
  <c r="G4" i="5" s="1"/>
  <c r="G5" i="5" s="1"/>
  <c r="G6" i="5" s="1"/>
  <c r="G7" i="5" s="1"/>
  <c r="G8" i="5" s="1"/>
  <c r="G9" i="5" s="1"/>
  <c r="G10" i="5" s="1"/>
  <c r="G11" i="5" s="1"/>
  <c r="H12" i="5"/>
  <c r="H4" i="5" s="1"/>
  <c r="H5" i="5" s="1"/>
  <c r="H6" i="5" s="1"/>
  <c r="H7" i="5" s="1"/>
  <c r="H8" i="5" s="1"/>
  <c r="H9" i="5" s="1"/>
  <c r="H10" i="5" s="1"/>
  <c r="H11" i="5" s="1"/>
  <c r="I12" i="5"/>
  <c r="I4" i="5" s="1"/>
  <c r="I5" i="5" s="1"/>
  <c r="I6" i="5" s="1"/>
  <c r="I7" i="5" s="1"/>
  <c r="I8" i="5" s="1"/>
  <c r="I9" i="5" s="1"/>
  <c r="I10" i="5" s="1"/>
  <c r="I11" i="5" s="1"/>
  <c r="J12" i="5"/>
  <c r="J4" i="5" s="1"/>
  <c r="J5" i="5" s="1"/>
  <c r="J6" i="5" s="1"/>
  <c r="J7" i="5" s="1"/>
  <c r="J8" i="5" s="1"/>
  <c r="J9" i="5" s="1"/>
  <c r="J10" i="5" s="1"/>
  <c r="J11" i="5" s="1"/>
  <c r="K12" i="5"/>
  <c r="K4" i="5" s="1"/>
  <c r="K5" i="5" s="1"/>
  <c r="K6" i="5" s="1"/>
  <c r="K7" i="5" s="1"/>
  <c r="K8" i="5" s="1"/>
  <c r="K9" i="5" s="1"/>
  <c r="K10" i="5" s="1"/>
  <c r="K11" i="5" s="1"/>
  <c r="X6" i="2" l="1"/>
  <c r="W6" i="2" s="1"/>
  <c r="X3" i="2"/>
  <c r="X12" i="2"/>
  <c r="W12" i="2" s="1"/>
  <c r="X10" i="2"/>
  <c r="W10" i="2" s="1"/>
  <c r="X9" i="2"/>
  <c r="W9" i="2" s="1"/>
  <c r="X8" i="2"/>
  <c r="W8" i="2" s="1"/>
  <c r="X5" i="2"/>
  <c r="W5" i="2" s="1"/>
  <c r="X4" i="2"/>
  <c r="W4" i="2" s="1"/>
  <c r="X11" i="2"/>
  <c r="W11" i="2" s="1"/>
  <c r="X7" i="2"/>
  <c r="W7" i="2" s="1"/>
  <c r="H4" i="2"/>
  <c r="H5" i="2" l="1"/>
  <c r="W3" i="2"/>
  <c r="P4" i="2"/>
  <c r="M5" i="2"/>
  <c r="P5" i="2"/>
  <c r="M3" i="2"/>
  <c r="Q2" i="5"/>
  <c r="K4" i="8"/>
  <c r="K5" i="8" s="1"/>
  <c r="J4" i="8"/>
  <c r="J5" i="8" s="1"/>
  <c r="I4" i="8"/>
  <c r="I5" i="8" s="1"/>
  <c r="H4" i="8"/>
  <c r="H5" i="8" s="1"/>
  <c r="G4" i="8"/>
  <c r="G5" i="8" s="1"/>
  <c r="F4" i="8"/>
  <c r="F5" i="8" s="1"/>
  <c r="E4" i="8"/>
  <c r="E5" i="8" s="1"/>
  <c r="D4" i="8"/>
  <c r="D5" i="8" s="1"/>
  <c r="C4" i="8"/>
  <c r="C5" i="8" s="1"/>
  <c r="O2" i="5"/>
  <c r="N2" i="5"/>
  <c r="B4" i="8" l="1"/>
  <c r="B5" i="8" s="1"/>
  <c r="H6" i="2"/>
  <c r="H7" i="2" l="1"/>
  <c r="R3" i="2"/>
  <c r="R15" i="2" s="1"/>
  <c r="Q3" i="2"/>
  <c r="Q27" i="2" s="1"/>
  <c r="O3" i="2"/>
  <c r="O15" i="2" s="1"/>
  <c r="U3" i="2"/>
  <c r="U15" i="2" s="1"/>
  <c r="T3" i="2"/>
  <c r="T15" i="2" s="1"/>
  <c r="S3" i="2"/>
  <c r="S15" i="2" s="1"/>
  <c r="P3" i="2"/>
  <c r="P15" i="2" s="1"/>
  <c r="M27" i="2"/>
  <c r="V3" i="2"/>
  <c r="V15" i="2" s="1"/>
  <c r="N3" i="2"/>
  <c r="H8" i="2" l="1"/>
  <c r="N27" i="2"/>
  <c r="I3" i="2"/>
  <c r="Q15" i="2"/>
  <c r="N15" i="2"/>
  <c r="V27" i="2"/>
  <c r="U27" i="2"/>
  <c r="O27" i="2"/>
  <c r="P27" i="2"/>
  <c r="T27" i="2"/>
  <c r="R27" i="2"/>
  <c r="S27" i="2"/>
  <c r="S4" i="2"/>
  <c r="T4" i="2"/>
  <c r="Q4" i="2"/>
  <c r="R4" i="2"/>
  <c r="M4" i="2"/>
  <c r="U4" i="2"/>
  <c r="N4" i="2"/>
  <c r="V4" i="2"/>
  <c r="O4" i="2"/>
  <c r="P16" i="2"/>
  <c r="M15" i="2"/>
  <c r="G3" i="2" l="1"/>
  <c r="K3" i="2"/>
  <c r="S16" i="2"/>
  <c r="T16" i="2"/>
  <c r="U16" i="2"/>
  <c r="O16" i="2"/>
  <c r="V28" i="2"/>
  <c r="N16" i="2"/>
  <c r="R16" i="2"/>
  <c r="Q16" i="2"/>
  <c r="H9" i="2"/>
  <c r="I4" i="2"/>
  <c r="M28" i="2"/>
  <c r="T28" i="2"/>
  <c r="Q28" i="2"/>
  <c r="P28" i="2"/>
  <c r="O28" i="2"/>
  <c r="N28" i="2"/>
  <c r="R28" i="2"/>
  <c r="S28" i="2"/>
  <c r="U28" i="2"/>
  <c r="Q5" i="2"/>
  <c r="Q17" i="2" s="1"/>
  <c r="O5" i="2"/>
  <c r="O17" i="2" s="1"/>
  <c r="P17" i="2"/>
  <c r="R5" i="2"/>
  <c r="R17" i="2" s="1"/>
  <c r="S5" i="2"/>
  <c r="S17" i="2" s="1"/>
  <c r="T5" i="2"/>
  <c r="T17" i="2" s="1"/>
  <c r="M29" i="2"/>
  <c r="U5" i="2"/>
  <c r="U17" i="2" s="1"/>
  <c r="N5" i="2"/>
  <c r="N17" i="2" s="1"/>
  <c r="V5" i="2"/>
  <c r="V29" i="2" s="1"/>
  <c r="M16" i="2"/>
  <c r="H10" i="2" l="1"/>
  <c r="F3" i="2"/>
  <c r="E3" i="2" s="1"/>
  <c r="D3" i="2" s="1"/>
  <c r="T29" i="2"/>
  <c r="S29" i="2"/>
  <c r="G4" i="2"/>
  <c r="F4" i="2" s="1"/>
  <c r="P29" i="2"/>
  <c r="Q29" i="2"/>
  <c r="O29" i="2"/>
  <c r="R29" i="2"/>
  <c r="N29" i="2"/>
  <c r="U29" i="2"/>
  <c r="I5" i="2"/>
  <c r="O6" i="2"/>
  <c r="M6" i="2"/>
  <c r="N6" i="2"/>
  <c r="N18" i="2" s="1"/>
  <c r="P6" i="2"/>
  <c r="U6" i="2"/>
  <c r="U18" i="2" s="1"/>
  <c r="V6" i="2"/>
  <c r="V30" i="2" s="1"/>
  <c r="Q6" i="2"/>
  <c r="Q18" i="2" s="1"/>
  <c r="R6" i="2"/>
  <c r="S6" i="2"/>
  <c r="S18" i="2" s="1"/>
  <c r="T6" i="2"/>
  <c r="T18" i="2" s="1"/>
  <c r="M17" i="2"/>
  <c r="S5" i="10" l="1"/>
  <c r="E4" i="2"/>
  <c r="D4" i="2" s="1"/>
  <c r="O18" i="2"/>
  <c r="R18" i="2"/>
  <c r="P18" i="2"/>
  <c r="M30" i="2"/>
  <c r="H11" i="2"/>
  <c r="G5" i="2"/>
  <c r="R30" i="2"/>
  <c r="P30" i="2"/>
  <c r="N30" i="2"/>
  <c r="U30" i="2"/>
  <c r="Q30" i="2"/>
  <c r="T30" i="2"/>
  <c r="O30" i="2"/>
  <c r="S30" i="2"/>
  <c r="I6" i="2"/>
  <c r="M7" i="2"/>
  <c r="M31" i="2" s="1"/>
  <c r="U7" i="2"/>
  <c r="U19" i="2" s="1"/>
  <c r="N7" i="2"/>
  <c r="N19" i="2" s="1"/>
  <c r="S7" i="2"/>
  <c r="S19" i="2" s="1"/>
  <c r="V7" i="2"/>
  <c r="O7" i="2"/>
  <c r="O19" i="2" s="1"/>
  <c r="P7" i="2"/>
  <c r="P19" i="2" s="1"/>
  <c r="T7" i="2"/>
  <c r="T19" i="2" s="1"/>
  <c r="Q7" i="2"/>
  <c r="R7" i="2"/>
  <c r="R19" i="2" s="1"/>
  <c r="M18" i="2"/>
  <c r="V31" i="2" l="1"/>
  <c r="Q19" i="2"/>
  <c r="F5" i="2"/>
  <c r="S6" i="10" s="1"/>
  <c r="R31" i="2"/>
  <c r="Q31" i="2"/>
  <c r="G6" i="2"/>
  <c r="P31" i="2"/>
  <c r="S31" i="2"/>
  <c r="N31" i="2"/>
  <c r="O31" i="2"/>
  <c r="U31" i="2"/>
  <c r="T31" i="2"/>
  <c r="I7" i="2"/>
  <c r="S8" i="2"/>
  <c r="S20" i="2" s="1"/>
  <c r="T8" i="2"/>
  <c r="Q8" i="2"/>
  <c r="Q20" i="2" s="1"/>
  <c r="R8" i="2"/>
  <c r="M8" i="2"/>
  <c r="M32" i="2" s="1"/>
  <c r="U8" i="2"/>
  <c r="U20" i="2" s="1"/>
  <c r="N8" i="2"/>
  <c r="N20" i="2" s="1"/>
  <c r="V8" i="2"/>
  <c r="V32" i="2" s="1"/>
  <c r="O8" i="2"/>
  <c r="O20" i="2" s="1"/>
  <c r="P8" i="2"/>
  <c r="P20" i="2" s="1"/>
  <c r="M19" i="2"/>
  <c r="E5" i="2" l="1"/>
  <c r="D5" i="2" s="1"/>
  <c r="T20" i="2"/>
  <c r="R20" i="2"/>
  <c r="F6" i="2"/>
  <c r="S7" i="10" s="1"/>
  <c r="N32" i="2"/>
  <c r="G7" i="2"/>
  <c r="P32" i="2"/>
  <c r="U32" i="2"/>
  <c r="Q32" i="2"/>
  <c r="O32" i="2"/>
  <c r="T32" i="2"/>
  <c r="R32" i="2"/>
  <c r="S32" i="2"/>
  <c r="I8" i="2"/>
  <c r="Q9" i="2"/>
  <c r="P9" i="2"/>
  <c r="P21" i="2" s="1"/>
  <c r="R9" i="2"/>
  <c r="R21" i="2" s="1"/>
  <c r="O9" i="2"/>
  <c r="O21" i="2" s="1"/>
  <c r="S9" i="2"/>
  <c r="S21" i="2" s="1"/>
  <c r="T9" i="2"/>
  <c r="T21" i="2" s="1"/>
  <c r="M9" i="2"/>
  <c r="M33" i="2" s="1"/>
  <c r="U9" i="2"/>
  <c r="U21" i="2" s="1"/>
  <c r="N9" i="2"/>
  <c r="N21" i="2" s="1"/>
  <c r="V9" i="2"/>
  <c r="V33" i="2" s="1"/>
  <c r="M20" i="2"/>
  <c r="E6" i="2" l="1"/>
  <c r="D6" i="2" s="1"/>
  <c r="Q21" i="2"/>
  <c r="F7" i="2"/>
  <c r="S8" i="10" s="1"/>
  <c r="G8" i="2"/>
  <c r="U33" i="2"/>
  <c r="P33" i="2"/>
  <c r="N33" i="2"/>
  <c r="T33" i="2"/>
  <c r="Q33" i="2"/>
  <c r="R33" i="2"/>
  <c r="O33" i="2"/>
  <c r="S33" i="2"/>
  <c r="I9" i="2"/>
  <c r="O10" i="2"/>
  <c r="P10" i="2"/>
  <c r="P22" i="2" s="1"/>
  <c r="M10" i="2"/>
  <c r="M34" i="2" s="1"/>
  <c r="V10" i="2"/>
  <c r="V34" i="2" s="1"/>
  <c r="U10" i="2"/>
  <c r="U22" i="2" s="1"/>
  <c r="N10" i="2"/>
  <c r="N22" i="2" s="1"/>
  <c r="Q10" i="2"/>
  <c r="Q22" i="2" s="1"/>
  <c r="R10" i="2"/>
  <c r="S10" i="2"/>
  <c r="S22" i="2" s="1"/>
  <c r="T10" i="2"/>
  <c r="T22" i="2" s="1"/>
  <c r="M21" i="2"/>
  <c r="R22" i="2" l="1"/>
  <c r="O22" i="2"/>
  <c r="E7" i="2"/>
  <c r="D7" i="2" s="1"/>
  <c r="F8" i="2"/>
  <c r="S9" i="10" s="1"/>
  <c r="T34" i="2"/>
  <c r="S34" i="2"/>
  <c r="R34" i="2"/>
  <c r="G9" i="2"/>
  <c r="O34" i="2"/>
  <c r="U34" i="2"/>
  <c r="P34" i="2"/>
  <c r="Q34" i="2"/>
  <c r="N34" i="2"/>
  <c r="I10" i="2"/>
  <c r="M11" i="2"/>
  <c r="M35" i="2" s="1"/>
  <c r="U11" i="2"/>
  <c r="V11" i="2"/>
  <c r="P11" i="2"/>
  <c r="R11" i="2"/>
  <c r="R23" i="2" s="1"/>
  <c r="S11" i="2"/>
  <c r="S23" i="2" s="1"/>
  <c r="T11" i="2"/>
  <c r="T23" i="2" s="1"/>
  <c r="N11" i="2"/>
  <c r="N23" i="2" s="1"/>
  <c r="O11" i="2"/>
  <c r="O23" i="2" s="1"/>
  <c r="Q11" i="2"/>
  <c r="Q23" i="2" s="1"/>
  <c r="M22" i="2"/>
  <c r="E8" i="2" l="1"/>
  <c r="D8" i="2" s="1"/>
  <c r="U23" i="2"/>
  <c r="P23" i="2"/>
  <c r="V35" i="2"/>
  <c r="F9" i="2"/>
  <c r="S10" i="10" s="1"/>
  <c r="G10" i="2"/>
  <c r="U35" i="2"/>
  <c r="O35" i="2"/>
  <c r="S35" i="2"/>
  <c r="N35" i="2"/>
  <c r="R35" i="2"/>
  <c r="Q35" i="2"/>
  <c r="T35" i="2"/>
  <c r="P35" i="2"/>
  <c r="I11" i="2"/>
  <c r="S12" i="2"/>
  <c r="T12" i="2"/>
  <c r="T24" i="2" s="1"/>
  <c r="Q12" i="2"/>
  <c r="Q24" i="2" s="1"/>
  <c r="M12" i="2"/>
  <c r="B3" i="8" s="1"/>
  <c r="B6" i="8" s="1"/>
  <c r="U12" i="2"/>
  <c r="U24" i="2" s="1"/>
  <c r="N12" i="2"/>
  <c r="V12" i="2"/>
  <c r="V36" i="2" s="1"/>
  <c r="P12" i="2"/>
  <c r="P24" i="2" s="1"/>
  <c r="R12" i="2"/>
  <c r="R24" i="2" s="1"/>
  <c r="O12" i="2"/>
  <c r="O24" i="2" s="1"/>
  <c r="M23" i="2"/>
  <c r="E9" i="2" l="1"/>
  <c r="D9" i="2" s="1"/>
  <c r="F3" i="8"/>
  <c r="F6" i="8" s="1"/>
  <c r="E3" i="8"/>
  <c r="E6" i="8" s="1"/>
  <c r="S24" i="2"/>
  <c r="H3" i="8"/>
  <c r="H6" i="8" s="1"/>
  <c r="N24" i="2"/>
  <c r="C3" i="8"/>
  <c r="C6" i="8" s="1"/>
  <c r="J3" i="8"/>
  <c r="J6" i="8" s="1"/>
  <c r="I3" i="8"/>
  <c r="I6" i="8" s="1"/>
  <c r="G3" i="8"/>
  <c r="G6" i="8" s="1"/>
  <c r="K3" i="8"/>
  <c r="K6" i="8" s="1"/>
  <c r="D3" i="8"/>
  <c r="D6" i="8" s="1"/>
  <c r="I12" i="2"/>
  <c r="B33" i="3" s="1"/>
  <c r="M24" i="2"/>
  <c r="F10" i="2"/>
  <c r="S11" i="10" s="1"/>
  <c r="Q36" i="2"/>
  <c r="G11" i="2"/>
  <c r="S36" i="2"/>
  <c r="R36" i="2"/>
  <c r="O36" i="2"/>
  <c r="T36" i="2"/>
  <c r="M36" i="2"/>
  <c r="N36" i="2"/>
  <c r="P36" i="2"/>
  <c r="U36" i="2"/>
  <c r="B9" i="3"/>
  <c r="E10" i="2" l="1"/>
  <c r="D10" i="2" s="1"/>
  <c r="B37" i="3"/>
  <c r="J3" i="2"/>
  <c r="C3" i="2" s="1"/>
  <c r="B38" i="3"/>
  <c r="B34" i="3"/>
  <c r="F11" i="2"/>
  <c r="S12" i="10" s="1"/>
  <c r="G12" i="2"/>
  <c r="E11" i="2" l="1"/>
  <c r="D11" i="2" s="1"/>
  <c r="B39" i="3"/>
  <c r="B35" i="3"/>
  <c r="B36" i="3" s="1"/>
  <c r="F12" i="2"/>
  <c r="S13" i="10" s="1"/>
  <c r="E12" i="2" l="1"/>
  <c r="D12" i="2" s="1"/>
  <c r="V24" i="2" l="1"/>
  <c r="L12" i="2" l="1"/>
  <c r="V23" i="2"/>
  <c r="L11" i="2" s="1"/>
  <c r="K11" i="2" s="1"/>
  <c r="V16" i="2"/>
  <c r="L4" i="2" s="1"/>
  <c r="K4" i="2" s="1"/>
  <c r="B40" i="3" l="1"/>
  <c r="J12" i="2"/>
  <c r="K12" i="2"/>
  <c r="J4" i="2"/>
  <c r="C4" i="2" s="1"/>
  <c r="J11" i="2"/>
  <c r="C11" i="2" s="1"/>
  <c r="V20" i="2"/>
  <c r="L8" i="2" s="1"/>
  <c r="K8" i="2" s="1"/>
  <c r="V17" i="2"/>
  <c r="L5" i="2" s="1"/>
  <c r="K5" i="2" s="1"/>
  <c r="V18" i="2"/>
  <c r="L6" i="2" s="1"/>
  <c r="K6" i="2" s="1"/>
  <c r="V21" i="2"/>
  <c r="L9" i="2" s="1"/>
  <c r="K9" i="2" s="1"/>
  <c r="V19" i="2"/>
  <c r="L7" i="2" s="1"/>
  <c r="K7" i="2" s="1"/>
  <c r="V22" i="2"/>
  <c r="L10" i="2" s="1"/>
  <c r="K10" i="2" s="1"/>
  <c r="C12" i="2" l="1"/>
  <c r="B32" i="3" s="1"/>
  <c r="J8" i="2"/>
  <c r="C8" i="2" s="1"/>
  <c r="J5" i="2"/>
  <c r="C5" i="2" s="1"/>
  <c r="J7" i="2"/>
  <c r="C7" i="2" s="1"/>
  <c r="J6" i="2"/>
  <c r="C6" i="2" s="1"/>
  <c r="J10" i="2"/>
  <c r="C10" i="2" s="1"/>
  <c r="J9" i="2"/>
  <c r="C9" i="2" s="1"/>
  <c r="B31" i="3" l="1"/>
</calcChain>
</file>

<file path=xl/sharedStrings.xml><?xml version="1.0" encoding="utf-8"?>
<sst xmlns="http://schemas.openxmlformats.org/spreadsheetml/2006/main" count="271" uniqueCount="205">
  <si>
    <t>gallons</t>
  </si>
  <si>
    <t>Share of Gasoline vehilces in 2030 per gasoline usage decile</t>
  </si>
  <si>
    <t>NHTS based data</t>
  </si>
  <si>
    <t>Gallons (calc)</t>
  </si>
  <si>
    <t>avg subsidy</t>
  </si>
  <si>
    <t>1MJ=</t>
  </si>
  <si>
    <t>1 gram =</t>
  </si>
  <si>
    <t>tons</t>
  </si>
  <si>
    <t>1 ton=</t>
  </si>
  <si>
    <t>Metric Tons</t>
  </si>
  <si>
    <t>g</t>
  </si>
  <si>
    <t>metric tons</t>
  </si>
  <si>
    <t>MJ</t>
  </si>
  <si>
    <t>Gallons</t>
  </si>
  <si>
    <t>Metric tons CO2eq/gallon</t>
  </si>
  <si>
    <t>Input</t>
  </si>
  <si>
    <t>Variable Name</t>
  </si>
  <si>
    <t>Value</t>
  </si>
  <si>
    <t>Comment</t>
  </si>
  <si>
    <t>Source</t>
  </si>
  <si>
    <t xml:space="preserve">Total number of cars (short + long wheel based light duty vehicles) </t>
  </si>
  <si>
    <t xml:space="preserve">Federal Highway Administration. (2021). Federal Highway statistics 2019. https://www.fhwa.dot.gov/policyinformation/statistics/2019/mv1.cfm. Accessed: 02/16/2021 </t>
  </si>
  <si>
    <t xml:space="preserve"> </t>
  </si>
  <si>
    <t>Change rate: Car number total</t>
  </si>
  <si>
    <t>10 Years Average</t>
  </si>
  <si>
    <t>Evs registered in USA end 2019</t>
  </si>
  <si>
    <t>543,610 Evs  in 2019, assumed 700000 for 2021</t>
  </si>
  <si>
    <t xml:space="preserve">Alternative Fuel Data Center. (2021). Electric Vehicle Registration by State. https://afdc.energy.gov/data/10962. Accessed: 03.04.2021 </t>
  </si>
  <si>
    <t>Gasoline Cars</t>
  </si>
  <si>
    <t>2005 Gasoline Emissions</t>
  </si>
  <si>
    <t xml:space="preserve">https://ops.fhwa.dot.gov/freight/freight_analysis/nat_freight_stats/docs/12factsfigures/table5_17.htm </t>
  </si>
  <si>
    <t>2030 Target Gasoline Emissions</t>
  </si>
  <si>
    <t>Half of 2005, based on Biden announcement</t>
  </si>
  <si>
    <t>Gasoline Emissions</t>
  </si>
  <si>
    <t>Metric tons CO2/gallon of gasoline</t>
  </si>
  <si>
    <t>United States Environmental Protection Agency. (2021). Greenhouse Gases Equivalencies Calculator - Calculations and References. https://www.epa.gov/energy/greenhouse-gases-equivalencies-calculator-calculations-and-references#:~:text=filled%20with%20gasoline-,The%20amount%20of%20carbon%20dioxide%20emitted%20per%20gallon%20of%20motor,tanker%20truck%20contains%208%2C500%20gallons. Accessed: 01/30/2021</t>
  </si>
  <si>
    <t>Gasoline Consumption 2019</t>
  </si>
  <si>
    <t>US Gallons</t>
  </si>
  <si>
    <t>kwh usage per EV per mile</t>
  </si>
  <si>
    <t xml:space="preserve"> Weighted average of the 5 most sold EV models in the USA</t>
  </si>
  <si>
    <t>Fueleconomy, (2020). https://www.fueleconomy.gov/feg/Find.do?action=sbs&amp;id=42278. Accessed: 30/01/2021</t>
  </si>
  <si>
    <t>Change rate: kwh usage per EV per mile</t>
  </si>
  <si>
    <t>Technology factor, assumed</t>
  </si>
  <si>
    <t>Share Renewables in 2021</t>
  </si>
  <si>
    <t xml:space="preserve">https://www.statista.com/statistics/1070949/worldwide-emission-from-oil-production-by-country/ </t>
  </si>
  <si>
    <t>Subsidy per Gallon</t>
  </si>
  <si>
    <t>Top 10%</t>
  </si>
  <si>
    <t>90-80</t>
  </si>
  <si>
    <t>80-70</t>
  </si>
  <si>
    <t>70-60</t>
  </si>
  <si>
    <t>60-50</t>
  </si>
  <si>
    <t>50-40</t>
  </si>
  <si>
    <t>40-30</t>
  </si>
  <si>
    <t>30-20</t>
  </si>
  <si>
    <t>20-10</t>
  </si>
  <si>
    <t>Bottom 10%</t>
  </si>
  <si>
    <t>Output</t>
  </si>
  <si>
    <t>Difference to 2005, 50% target emissions (mt)</t>
  </si>
  <si>
    <t xml:space="preserve">Target emissions missed by </t>
  </si>
  <si>
    <t>Total Number of EV (ex. pre 2021)</t>
  </si>
  <si>
    <t>Share of Evs on street</t>
  </si>
  <si>
    <t>Avg Sales per year</t>
  </si>
  <si>
    <t>Avg Sales per year / Vehicles in 2021</t>
  </si>
  <si>
    <t>Cost of Subidy per Gallon policy ($bn)</t>
  </si>
  <si>
    <t>Cost of pure subsidy policy  ($bn)</t>
  </si>
  <si>
    <t>Vehicles</t>
  </si>
  <si>
    <t>Avg consumption</t>
  </si>
  <si>
    <t>Avg subsidy</t>
  </si>
  <si>
    <t>Groups subsidy</t>
  </si>
  <si>
    <t>Resident of</t>
  </si>
  <si>
    <t>VehicleType</t>
  </si>
  <si>
    <t>Annual Mileage</t>
  </si>
  <si>
    <t>Annual Gallons Displaced</t>
  </si>
  <si>
    <t>EV Subsidy @$12/gallon displaced</t>
  </si>
  <si>
    <t>Monthly Fuel Savings</t>
  </si>
  <si>
    <t>Monthly Mainte-nance Savings</t>
  </si>
  <si>
    <t>Trade-in Value</t>
  </si>
  <si>
    <t>Replace-ment Vehicle</t>
  </si>
  <si>
    <t>New EV Replace-ment Cost</t>
  </si>
  <si>
    <t>Net Cost after subsidy and trade in</t>
  </si>
  <si>
    <t>Car Payment 6 years @ 5%</t>
  </si>
  <si>
    <t>Net Monthly Cost</t>
  </si>
  <si>
    <t>Comments</t>
  </si>
  <si>
    <t>Phoenix Metro</t>
  </si>
  <si>
    <t>Tes Mod Y</t>
  </si>
  <si>
    <t>Arizona</t>
  </si>
  <si>
    <t>Tes Mod 3</t>
  </si>
  <si>
    <t>Cincinattie Metro</t>
  </si>
  <si>
    <t>West Virginia</t>
  </si>
  <si>
    <t>KonaEV</t>
  </si>
  <si>
    <t>North Carolina</t>
  </si>
  <si>
    <t>F-150E</t>
  </si>
  <si>
    <t>Milwakee Metro</t>
  </si>
  <si>
    <t>Chv Bolt LT</t>
  </si>
  <si>
    <t>Houston Metro</t>
  </si>
  <si>
    <t>Atlanta Metro</t>
  </si>
  <si>
    <t>LA Metro</t>
  </si>
  <si>
    <t>Milwaukee Metro</t>
  </si>
  <si>
    <t>New York Metro</t>
  </si>
  <si>
    <t>Kona EV</t>
  </si>
  <si>
    <t>5 passenger cars</t>
  </si>
  <si>
    <t>3 SUV</t>
  </si>
  <si>
    <t>2 Pickup Truck</t>
  </si>
  <si>
    <t># Years</t>
  </si>
  <si>
    <t>Years</t>
  </si>
  <si>
    <t>Emissions modeled total</t>
  </si>
  <si>
    <t>CO2 Metric tons from EV usage</t>
  </si>
  <si>
    <t>khw not renewables</t>
  </si>
  <si>
    <t>EV khw usage</t>
  </si>
  <si>
    <t>EV Mileage</t>
  </si>
  <si>
    <t xml:space="preserve">EVs </t>
  </si>
  <si>
    <t>CO2 Metric tons from gasoline burning</t>
  </si>
  <si>
    <t>Upstream CO2eq</t>
  </si>
  <si>
    <t>Gasoline Consumption</t>
  </si>
  <si>
    <t>Number of Cars</t>
  </si>
  <si>
    <t>Gasoline + khw emissions</t>
  </si>
  <si>
    <t>Share of khw not stemming from renewable sources</t>
  </si>
  <si>
    <t>Sum of deciles EV mileage * Assumed 23 khw/mile</t>
  </si>
  <si>
    <t xml:space="preserve">Sum of deciles EV mileage </t>
  </si>
  <si>
    <t>Forecasted share of renewable</t>
  </si>
  <si>
    <t>Total # cars - sum of gasoline vehicles</t>
  </si>
  <si>
    <t>Gasoline consumption * Metric tons CO2/gallon of gasoline</t>
  </si>
  <si>
    <t>Product of Gasoline Consumption and USA gasoline upstream factor</t>
  </si>
  <si>
    <t>Sum of all deciles gasoling consumption</t>
  </si>
  <si>
    <t>Forcast of cars on the streets</t>
  </si>
  <si>
    <t>Gasoline (avg. gasoline usage per group * #gasoline cars)</t>
  </si>
  <si>
    <t>EV Miles (# ev vehicles per group * avg. mileage per group)</t>
  </si>
  <si>
    <t>Assumption</t>
  </si>
  <si>
    <t>implement</t>
  </si>
  <si>
    <t>comment</t>
  </si>
  <si>
    <t>Mileage per groups stays constant</t>
  </si>
  <si>
    <t>khw of EV &amp; MPG on average constant</t>
  </si>
  <si>
    <t>adjust</t>
  </si>
  <si>
    <t>Linear change rates for adoption between 2021 and 2030</t>
  </si>
  <si>
    <t>logarithmic curve</t>
  </si>
  <si>
    <t>Start of model excludes all EV already on the streets</t>
  </si>
  <si>
    <t>Bestmile estimate of NHTS accurate</t>
  </si>
  <si>
    <t>Start: end of 2021</t>
  </si>
  <si>
    <t>Production emissions not relevant</t>
  </si>
  <si>
    <t>not part of transportation sector</t>
  </si>
  <si>
    <t>Charging infrastructure suffienct</t>
  </si>
  <si>
    <t>Maintanance difference between ICE and EV not in model</t>
  </si>
  <si>
    <t>check it out</t>
  </si>
  <si>
    <t xml:space="preserve">for the financial </t>
  </si>
  <si>
    <t xml:space="preserve">Upstream Metric tons CO2 eq per gallon gasoline </t>
  </si>
  <si>
    <t xml:space="preserve">Difference between policies </t>
  </si>
  <si>
    <r>
      <t>Metric tonnes of CO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 equivalent</t>
    </r>
  </si>
  <si>
    <t>Subsidy per Vehicle</t>
  </si>
  <si>
    <t>Superusers buy first</t>
  </si>
  <si>
    <t>Reaching 50% emission reduction</t>
  </si>
  <si>
    <t>Subsidy payed per Gallon of Gasoline</t>
  </si>
  <si>
    <t>Subsidy payed per EV sold</t>
  </si>
  <si>
    <t>Profiteur Model</t>
  </si>
  <si>
    <t>Share of Superusers being incentives to take subsidy</t>
  </si>
  <si>
    <t>Superusers buy last</t>
  </si>
  <si>
    <t>All consumption groups buy</t>
  </si>
  <si>
    <t>2009 - 2019 Average Sales to Registrations</t>
  </si>
  <si>
    <t>Gasoline reduction</t>
  </si>
  <si>
    <t>gas_production=</t>
  </si>
  <si>
    <t>ev_production=</t>
  </si>
  <si>
    <t>6 tons = gas_production* 1.68</t>
  </si>
  <si>
    <t>Production Co2e metric ton ICE</t>
  </si>
  <si>
    <t>Production Co2e metric ton EV</t>
  </si>
  <si>
    <r>
      <t>Nealer, R. (2015). </t>
    </r>
    <r>
      <rPr>
        <i/>
        <sz val="8"/>
        <color rgb="FF222222"/>
        <rFont val="Arial"/>
        <family val="2"/>
      </rPr>
      <t>Cleaner cars from cradle to grave: How electric cars beat gasoline cars on lifetime global warming emissions</t>
    </r>
    <r>
      <rPr>
        <sz val="8"/>
        <color rgb="FF222222"/>
        <rFont val="Arial"/>
        <family val="2"/>
      </rPr>
      <t>. Union of Concerned Scientists..</t>
    </r>
  </si>
  <si>
    <t>Base: Number New Cars</t>
  </si>
  <si>
    <t>Share vehicles producted in the USA</t>
  </si>
  <si>
    <t>Correspondent non-carbon renewable share growth</t>
  </si>
  <si>
    <t>Reduction MMmt</t>
  </si>
  <si>
    <t xml:space="preserve">Share non-carbon </t>
  </si>
  <si>
    <t>MMmt Emissions Electricty Prodcution</t>
  </si>
  <si>
    <t xml:space="preserve">Source: https://www.eia.gov/todayinenergy/detail.php?id=37392 </t>
  </si>
  <si>
    <t>pathway to 50% reduction in relation to 2005 based on historic pathway, Forecasts:EIA: 35%, EI: up to 80%</t>
  </si>
  <si>
    <t>Emissions Electiricy Sector</t>
  </si>
  <si>
    <t xml:space="preserve">https://www.american.edu/kogod/research/autoindex/2018-autoindex.cfm#:~:text=Of%20the%2017.5%20million%20vehicles,just%20helpful%E2%80%94it%20is%20essential. </t>
  </si>
  <si>
    <t>Share Non-carbon in 2030</t>
  </si>
  <si>
    <t>EIA. (2021). Annual Energy Outlook 2021. https://www.eia.gov/outlooks/aeo/electricity/sub-topic-03.php. Accessed: 02/05/2021</t>
  </si>
  <si>
    <t>Share Non-Carbon</t>
  </si>
  <si>
    <t>EV Usage in Megawatt</t>
  </si>
  <si>
    <t>Total Number of LDV</t>
  </si>
  <si>
    <t>BTS, Light Duty Vehicle, Long &amp; Short Wheel Base Fuel Consumption and Travel</t>
  </si>
  <si>
    <t>Sum of long and short wheel base LDV</t>
  </si>
  <si>
    <t>Energy mix factor * khw from non-renewables *pound to metric tons factor*(reduction of energy mix factor)</t>
  </si>
  <si>
    <t>Electricity generation outlook from selected fuels</t>
  </si>
  <si>
    <t>Year</t>
  </si>
  <si>
    <t>Petroleum and other</t>
  </si>
  <si>
    <t>Natural gas</t>
  </si>
  <si>
    <t>Renewables</t>
  </si>
  <si>
    <t>Nuclear</t>
  </si>
  <si>
    <t>Coal</t>
  </si>
  <si>
    <t>Petroleum and other (share carbon energy mix)</t>
  </si>
  <si>
    <t>Natural gas (share carbon energy mix)</t>
  </si>
  <si>
    <t>Coal (share carbon energy mix)</t>
  </si>
  <si>
    <t>Pollution Factor</t>
  </si>
  <si>
    <t>Note: The change rates presented are own calculations based on the data (see Source)</t>
  </si>
  <si>
    <t>Gasoline Consumption 2005</t>
  </si>
  <si>
    <t>BTS, Fuel consumption Short- &amp; Long wheel LDV Fuel Consumption</t>
  </si>
  <si>
    <t>Decile Gasoline Consumption</t>
  </si>
  <si>
    <t>Conversion</t>
  </si>
  <si>
    <t>Emissions LDV Production</t>
  </si>
  <si>
    <t>equal (all)</t>
  </si>
  <si>
    <t>Input for 50% emissions cut</t>
  </si>
  <si>
    <t>superusers last (2nd)</t>
  </si>
  <si>
    <t>superusers first (4th)</t>
  </si>
  <si>
    <t>Gasoline Vehicles (Percentages represent the level a consumption group decreasing the share of gasoline LDVs to)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</si>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</sst>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000000000_);_(* \(#,##0.0000000000\);_(* &quot;-&quot;??_);_(@_)"/>
    <numFmt numFmtId="167" formatCode="_(* #,##0.00000_);_(* \(#,##0.00000\);_(* &quot;-&quot;??_);_(@_)"/>
    <numFmt numFmtId="168" formatCode="_(* #,##0.0000_);_(* \(#,##0.0000\);_(* &quot;-&quot;??_);_(@_)"/>
    <numFmt numFmtId="169" formatCode="_-[$$-409]* #,##0.00_ ;_-[$$-409]* \-#,##0.00\ ;_-[$$-409]* &quot;-&quot;??_ ;_-@_ "/>
    <numFmt numFmtId="170" formatCode="_-[$$-409]* #,##0_ ;_-[$$-409]* \-#,##0\ ;_-[$$-409]* &quot;-&quot;??_ ;_-@_ "/>
    <numFmt numFmtId="171" formatCode="0.0%"/>
    <numFmt numFmtId="172" formatCode="0.000000000000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34">
    <xf numFmtId="0" fontId="0" fillId="0" borderId="0" xfId="0"/>
    <xf numFmtId="9" fontId="0" fillId="0" borderId="0" xfId="2" applyFont="1"/>
    <xf numFmtId="165" fontId="0" fillId="0" borderId="0" xfId="0" applyNumberFormat="1"/>
    <xf numFmtId="43" fontId="0" fillId="0" borderId="0" xfId="0" applyNumberFormat="1"/>
    <xf numFmtId="0" fontId="0" fillId="0" borderId="2" xfId="0" applyBorder="1"/>
    <xf numFmtId="165" fontId="0" fillId="0" borderId="2" xfId="0" applyNumberFormat="1" applyBorder="1"/>
    <xf numFmtId="9" fontId="0" fillId="0" borderId="2" xfId="2" applyFont="1" applyBorder="1"/>
    <xf numFmtId="9" fontId="0" fillId="0" borderId="2" xfId="0" applyNumberFormat="1" applyBorder="1"/>
    <xf numFmtId="165" fontId="0" fillId="0" borderId="2" xfId="1" applyNumberFormat="1" applyFont="1" applyBorder="1"/>
    <xf numFmtId="0" fontId="0" fillId="0" borderId="0" xfId="0" applyAlignment="1">
      <alignment vertical="top" wrapText="1"/>
    </xf>
    <xf numFmtId="9" fontId="0" fillId="0" borderId="0" xfId="0" applyNumberFormat="1"/>
    <xf numFmtId="0" fontId="0" fillId="0" borderId="0" xfId="0" applyNumberFormat="1"/>
    <xf numFmtId="0" fontId="4" fillId="0" borderId="0" xfId="0" applyFont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3" fillId="0" borderId="0" xfId="0" applyFont="1"/>
    <xf numFmtId="0" fontId="6" fillId="0" borderId="2" xfId="0" applyFont="1" applyBorder="1"/>
    <xf numFmtId="0" fontId="6" fillId="0" borderId="0" xfId="0" applyFont="1"/>
    <xf numFmtId="0" fontId="0" fillId="0" borderId="2" xfId="0" applyFont="1" applyBorder="1"/>
    <xf numFmtId="10" fontId="0" fillId="0" borderId="2" xfId="2" applyNumberFormat="1" applyFont="1" applyBorder="1"/>
    <xf numFmtId="2" fontId="0" fillId="0" borderId="2" xfId="0" applyNumberFormat="1" applyFont="1" applyBorder="1"/>
    <xf numFmtId="4" fontId="7" fillId="0" borderId="2" xfId="0" applyNumberFormat="1" applyFont="1" applyBorder="1"/>
    <xf numFmtId="0" fontId="7" fillId="0" borderId="2" xfId="0" applyFont="1" applyBorder="1"/>
    <xf numFmtId="0" fontId="0" fillId="0" borderId="5" xfId="0" applyBorder="1"/>
    <xf numFmtId="0" fontId="2" fillId="0" borderId="5" xfId="3" applyFont="1" applyBorder="1"/>
    <xf numFmtId="0" fontId="0" fillId="0" borderId="1" xfId="0" applyFont="1" applyBorder="1"/>
    <xf numFmtId="0" fontId="0" fillId="0" borderId="5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0" xfId="0" applyBorder="1"/>
    <xf numFmtId="0" fontId="9" fillId="0" borderId="5" xfId="3" applyFont="1" applyBorder="1"/>
    <xf numFmtId="0" fontId="0" fillId="0" borderId="2" xfId="0" applyBorder="1" applyAlignment="1">
      <alignment vertical="top" wrapText="1"/>
    </xf>
    <xf numFmtId="165" fontId="0" fillId="0" borderId="2" xfId="0" applyNumberFormat="1" applyBorder="1" applyAlignment="1">
      <alignment vertical="top" wrapText="1"/>
    </xf>
    <xf numFmtId="165" fontId="3" fillId="0" borderId="2" xfId="1" applyNumberFormat="1" applyFont="1" applyBorder="1" applyAlignment="1">
      <alignment horizontal="left" vertical="top" wrapText="1"/>
    </xf>
    <xf numFmtId="165" fontId="0" fillId="0" borderId="2" xfId="1" applyNumberFormat="1" applyFont="1" applyBorder="1" applyAlignment="1">
      <alignment vertical="top" wrapText="1"/>
    </xf>
    <xf numFmtId="43" fontId="0" fillId="0" borderId="2" xfId="1" applyFont="1" applyBorder="1" applyAlignment="1">
      <alignment vertical="top" wrapText="1"/>
    </xf>
    <xf numFmtId="0" fontId="0" fillId="0" borderId="0" xfId="0" applyAlignment="1">
      <alignment horizontal="right"/>
    </xf>
    <xf numFmtId="0" fontId="0" fillId="0" borderId="1" xfId="0" applyFont="1" applyFill="1" applyBorder="1"/>
    <xf numFmtId="0" fontId="0" fillId="0" borderId="7" xfId="0" applyBorder="1"/>
    <xf numFmtId="167" fontId="0" fillId="0" borderId="2" xfId="0" applyNumberFormat="1" applyBorder="1"/>
    <xf numFmtId="0" fontId="0" fillId="0" borderId="9" xfId="0" applyBorder="1"/>
    <xf numFmtId="0" fontId="0" fillId="0" borderId="10" xfId="0" applyBorder="1"/>
    <xf numFmtId="44" fontId="0" fillId="0" borderId="2" xfId="4" applyFont="1" applyBorder="1"/>
    <xf numFmtId="43" fontId="0" fillId="0" borderId="1" xfId="0" applyNumberFormat="1" applyBorder="1"/>
    <xf numFmtId="44" fontId="0" fillId="0" borderId="1" xfId="4" applyFont="1" applyBorder="1"/>
    <xf numFmtId="44" fontId="0" fillId="0" borderId="5" xfId="4" applyFont="1" applyBorder="1"/>
    <xf numFmtId="44" fontId="0" fillId="0" borderId="6" xfId="4" applyFont="1" applyBorder="1"/>
    <xf numFmtId="44" fontId="0" fillId="0" borderId="7" xfId="4" applyFont="1" applyBorder="1"/>
    <xf numFmtId="43" fontId="0" fillId="0" borderId="7" xfId="0" applyNumberFormat="1" applyBorder="1"/>
    <xf numFmtId="43" fontId="0" fillId="0" borderId="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 indent="2"/>
    </xf>
    <xf numFmtId="0" fontId="0" fillId="0" borderId="18" xfId="0" applyBorder="1"/>
    <xf numFmtId="0" fontId="0" fillId="0" borderId="12" xfId="0" applyBorder="1"/>
    <xf numFmtId="6" fontId="0" fillId="0" borderId="0" xfId="0" applyNumberFormat="1" applyBorder="1"/>
    <xf numFmtId="9" fontId="0" fillId="0" borderId="0" xfId="0" applyNumberFormat="1" applyBorder="1"/>
    <xf numFmtId="0" fontId="10" fillId="0" borderId="0" xfId="0" applyFont="1" applyFill="1" applyBorder="1"/>
    <xf numFmtId="0" fontId="0" fillId="0" borderId="2" xfId="0" applyBorder="1" applyAlignment="1">
      <alignment horizontal="right" indent="2"/>
    </xf>
    <xf numFmtId="0" fontId="0" fillId="0" borderId="11" xfId="0" applyBorder="1"/>
    <xf numFmtId="0" fontId="0" fillId="0" borderId="6" xfId="0" applyFill="1" applyBorder="1"/>
    <xf numFmtId="0" fontId="0" fillId="0" borderId="19" xfId="0" applyFill="1" applyBorder="1"/>
    <xf numFmtId="0" fontId="0" fillId="0" borderId="2" xfId="0" applyBorder="1" applyAlignment="1">
      <alignment horizontal="right"/>
    </xf>
    <xf numFmtId="0" fontId="0" fillId="0" borderId="0" xfId="0" applyFont="1" applyFill="1" applyBorder="1"/>
    <xf numFmtId="169" fontId="0" fillId="0" borderId="2" xfId="4" applyNumberFormat="1" applyFont="1" applyBorder="1"/>
    <xf numFmtId="169" fontId="0" fillId="0" borderId="20" xfId="0" applyNumberFormat="1" applyBorder="1"/>
    <xf numFmtId="0" fontId="11" fillId="0" borderId="12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3" fontId="11" fillId="0" borderId="23" xfId="0" applyNumberFormat="1" applyFont="1" applyBorder="1" applyAlignment="1">
      <alignment vertical="center" wrapText="1"/>
    </xf>
    <xf numFmtId="1" fontId="11" fillId="0" borderId="23" xfId="0" applyNumberFormat="1" applyFont="1" applyBorder="1" applyAlignment="1">
      <alignment vertical="center" wrapText="1"/>
    </xf>
    <xf numFmtId="8" fontId="11" fillId="0" borderId="23" xfId="0" applyNumberFormat="1" applyFont="1" applyBorder="1" applyAlignment="1">
      <alignment vertical="center" wrapText="1"/>
    </xf>
    <xf numFmtId="6" fontId="11" fillId="0" borderId="23" xfId="0" applyNumberFormat="1" applyFont="1" applyBorder="1" applyAlignment="1">
      <alignment vertical="center" wrapText="1"/>
    </xf>
    <xf numFmtId="168" fontId="0" fillId="0" borderId="24" xfId="0" applyNumberFormat="1" applyFill="1" applyBorder="1"/>
    <xf numFmtId="0" fontId="0" fillId="0" borderId="2" xfId="0" applyFill="1" applyBorder="1"/>
    <xf numFmtId="166" fontId="3" fillId="0" borderId="2" xfId="1" applyNumberFormat="1" applyFont="1" applyBorder="1"/>
    <xf numFmtId="169" fontId="0" fillId="0" borderId="2" xfId="0" applyNumberFormat="1" applyBorder="1"/>
    <xf numFmtId="10" fontId="0" fillId="0" borderId="2" xfId="0" applyNumberFormat="1" applyBorder="1"/>
    <xf numFmtId="43" fontId="0" fillId="0" borderId="0" xfId="1" applyFont="1" applyBorder="1"/>
    <xf numFmtId="10" fontId="0" fillId="0" borderId="1" xfId="0" applyNumberFormat="1" applyFont="1" applyBorder="1" applyAlignment="1">
      <alignment horizontal="left"/>
    </xf>
    <xf numFmtId="0" fontId="0" fillId="0" borderId="1" xfId="0" applyBorder="1"/>
    <xf numFmtId="0" fontId="2" fillId="0" borderId="5" xfId="3" applyBorder="1"/>
    <xf numFmtId="0" fontId="0" fillId="0" borderId="1" xfId="0" applyFill="1" applyBorder="1"/>
    <xf numFmtId="0" fontId="12" fillId="0" borderId="5" xfId="0" applyFont="1" applyBorder="1"/>
    <xf numFmtId="165" fontId="0" fillId="0" borderId="3" xfId="0" applyNumberFormat="1" applyBorder="1"/>
    <xf numFmtId="43" fontId="0" fillId="0" borderId="0" xfId="0" applyNumberFormat="1" applyBorder="1"/>
    <xf numFmtId="164" fontId="0" fillId="0" borderId="2" xfId="0" applyNumberFormat="1" applyBorder="1"/>
    <xf numFmtId="0" fontId="2" fillId="0" borderId="0" xfId="3"/>
    <xf numFmtId="0" fontId="3" fillId="0" borderId="2" xfId="0" applyFont="1" applyBorder="1" applyAlignment="1">
      <alignment vertical="top" wrapText="1"/>
    </xf>
    <xf numFmtId="172" fontId="0" fillId="0" borderId="0" xfId="0" applyNumberFormat="1"/>
    <xf numFmtId="171" fontId="0" fillId="0" borderId="0" xfId="0" applyNumberFormat="1"/>
    <xf numFmtId="0" fontId="2" fillId="0" borderId="8" xfId="3" applyBorder="1"/>
    <xf numFmtId="171" fontId="6" fillId="0" borderId="2" xfId="2" applyNumberFormat="1" applyFont="1" applyBorder="1"/>
    <xf numFmtId="9" fontId="0" fillId="0" borderId="2" xfId="2" applyFont="1" applyFill="1" applyBorder="1"/>
    <xf numFmtId="168" fontId="0" fillId="0" borderId="2" xfId="1" applyNumberFormat="1" applyFont="1" applyFill="1" applyBorder="1"/>
    <xf numFmtId="170" fontId="0" fillId="0" borderId="2" xfId="0" applyNumberFormat="1" applyFill="1" applyBorder="1"/>
    <xf numFmtId="43" fontId="0" fillId="0" borderId="2" xfId="1" applyFont="1" applyFill="1" applyBorder="1"/>
    <xf numFmtId="10" fontId="0" fillId="0" borderId="10" xfId="0" applyNumberFormat="1" applyFill="1" applyBorder="1"/>
    <xf numFmtId="10" fontId="0" fillId="0" borderId="7" xfId="0" applyNumberFormat="1" applyFill="1" applyBorder="1"/>
    <xf numFmtId="43" fontId="0" fillId="0" borderId="0" xfId="1" applyFont="1"/>
    <xf numFmtId="0" fontId="0" fillId="0" borderId="25" xfId="0" applyFill="1" applyBorder="1"/>
    <xf numFmtId="0" fontId="3" fillId="0" borderId="2" xfId="0" applyFont="1" applyBorder="1" applyAlignment="1">
      <alignment horizontal="center"/>
    </xf>
    <xf numFmtId="0" fontId="5" fillId="0" borderId="26" xfId="0" applyFont="1" applyBorder="1"/>
    <xf numFmtId="0" fontId="5" fillId="0" borderId="13" xfId="0" applyFont="1" applyBorder="1"/>
    <xf numFmtId="0" fontId="5" fillId="0" borderId="14" xfId="0" applyFont="1" applyBorder="1"/>
    <xf numFmtId="0" fontId="14" fillId="0" borderId="3" xfId="0" applyFont="1" applyBorder="1" applyAlignment="1">
      <alignment horizontal="left"/>
    </xf>
    <xf numFmtId="3" fontId="14" fillId="0" borderId="27" xfId="0" applyNumberFormat="1" applyFont="1" applyBorder="1"/>
    <xf numFmtId="0" fontId="0" fillId="0" borderId="4" xfId="0" applyBorder="1" applyAlignment="1">
      <alignment wrapText="1"/>
    </xf>
    <xf numFmtId="0" fontId="2" fillId="0" borderId="28" xfId="3" applyBorder="1"/>
    <xf numFmtId="0" fontId="2" fillId="0" borderId="29" xfId="3" applyBorder="1"/>
    <xf numFmtId="0" fontId="3" fillId="0" borderId="3" xfId="0" applyFont="1" applyBorder="1"/>
    <xf numFmtId="0" fontId="3" fillId="0" borderId="4" xfId="0" applyFont="1" applyBorder="1"/>
    <xf numFmtId="0" fontId="3" fillId="0" borderId="30" xfId="0" applyFont="1" applyBorder="1"/>
    <xf numFmtId="0" fontId="0" fillId="0" borderId="6" xfId="0" applyBorder="1"/>
    <xf numFmtId="9" fontId="0" fillId="0" borderId="7" xfId="2" applyFont="1" applyBorder="1"/>
    <xf numFmtId="0" fontId="0" fillId="0" borderId="8" xfId="0" applyBorder="1"/>
    <xf numFmtId="0" fontId="15" fillId="0" borderId="0" xfId="0" applyFont="1"/>
    <xf numFmtId="9" fontId="0" fillId="0" borderId="5" xfId="0" applyNumberFormat="1" applyBorder="1"/>
    <xf numFmtId="9" fontId="0" fillId="0" borderId="7" xfId="0" applyNumberFormat="1" applyBorder="1"/>
    <xf numFmtId="9" fontId="0" fillId="0" borderId="8" xfId="0" applyNumberFormat="1" applyBorder="1"/>
    <xf numFmtId="1" fontId="0" fillId="0" borderId="2" xfId="0" applyNumberFormat="1" applyBorder="1"/>
    <xf numFmtId="165" fontId="0" fillId="0" borderId="1" xfId="1" applyNumberFormat="1" applyFont="1" applyBorder="1"/>
    <xf numFmtId="1" fontId="0" fillId="0" borderId="5" xfId="0" applyNumberFormat="1" applyBorder="1"/>
    <xf numFmtId="165" fontId="0" fillId="0" borderId="6" xfId="1" applyNumberFormat="1" applyFont="1" applyBorder="1"/>
    <xf numFmtId="1" fontId="0" fillId="0" borderId="7" xfId="0" applyNumberFormat="1" applyBorder="1"/>
    <xf numFmtId="1" fontId="0" fillId="0" borderId="8" xfId="0" applyNumberFormat="1" applyBorder="1"/>
    <xf numFmtId="3" fontId="0" fillId="0" borderId="0" xfId="0" applyNumberFormat="1" applyBorder="1"/>
    <xf numFmtId="165" fontId="0" fillId="0" borderId="29" xfId="1" applyNumberFormat="1" applyFont="1" applyBorder="1"/>
    <xf numFmtId="9" fontId="0" fillId="0" borderId="2" xfId="2" applyNumberFormat="1" applyFont="1" applyBorder="1"/>
    <xf numFmtId="0" fontId="3" fillId="0" borderId="0" xfId="0" applyFont="1" applyAlignment="1">
      <alignment horizont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</a:t>
            </a:r>
            <a:r>
              <a:rPr lang="en-US" baseline="0"/>
              <a:t> SUPER- AND HIGH- GASOLINE USERS BUY THEIR EV FIRST, WE CAN ACHIEVE 50% EMISSION REDUCTION BY 2030 WITH LESS VEHICLES TO BE REPLACED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cat>
          <c:val>
            <c:numRef>
              <c:f>outcome_graphs!$B$9:$D$9</c:f>
              <c:numCache>
                <c:formatCode>_(* #,##0_);_(* \(#,##0\);_(* "-"??_);_(@_)</c:formatCode>
                <c:ptCount val="3"/>
                <c:pt idx="0">
                  <c:v>97343652.261064768</c:v>
                </c:pt>
                <c:pt idx="1">
                  <c:v>176018983.30680585</c:v>
                </c:pt>
                <c:pt idx="2">
                  <c:v>233254089.09873736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E-40D6-BB4A-82377523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6473728"/>
        <c:axId val="1186477056"/>
      </c:barChart>
      <c:lineChart>
        <c:grouping val="standard"/>
        <c:varyColors val="0"/>
        <c:ser>
          <c:idx val="1"/>
          <c:order val="1"/>
          <c:tx>
            <c:strRef>
              <c:f>outcome_graphs!$A$18</c:f>
              <c:strCache>
                <c:ptCount val="1"/>
                <c:pt idx="0">
                  <c:v>Total Number of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outcome_graphs!$B$18:$D$18</c:f>
              <c:numCache>
                <c:formatCode>#,##0</c:formatCode>
                <c:ptCount val="3"/>
                <c:pt idx="0">
                  <c:v>253814184</c:v>
                </c:pt>
                <c:pt idx="1">
                  <c:v>253814184</c:v>
                </c:pt>
                <c:pt idx="2">
                  <c:v>253814184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0-49A5-BC43-D1662892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473728"/>
        <c:axId val="1186477056"/>
      </c:lineChart>
      <c:catAx>
        <c:axId val="11864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7056"/>
        <c:crosses val="autoZero"/>
        <c:auto val="1"/>
        <c:lblAlgn val="ctr"/>
        <c:lblOffset val="100"/>
        <c:noMultiLvlLbl val="0"/>
      </c:catAx>
      <c:valAx>
        <c:axId val="11864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REACHING 50% EMISSION CUT UNTIL 2030, AN EV SUBSIDY OF </a:t>
            </a:r>
            <a:r>
              <a:rPr lang="en-US" b="1" baseline="0"/>
              <a:t>$10 PER GALLON USED </a:t>
            </a:r>
            <a:r>
              <a:rPr lang="en-US" baseline="0"/>
              <a:t>OR </a:t>
            </a:r>
            <a:r>
              <a:rPr lang="en-US" b="1" baseline="0"/>
              <a:t>$7,500 PER EV BOUGHT</a:t>
            </a:r>
            <a:r>
              <a:rPr lang="en-US" baseline="0"/>
              <a:t> RESULT IN DIFFERENT POLICY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outcome_graphs!$A$13</c:f>
              <c:strCache>
                <c:ptCount val="1"/>
                <c:pt idx="0">
                  <c:v>Cost of Subidy per Gallon policy ($bn)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cat>
          <c:val>
            <c:numRef>
              <c:f>outcome_graphs!$B$13:$D$13</c:f>
              <c:numCache>
                <c:formatCode>_-[$$-409]* #,##0.00_ ;_-[$$-409]* \-#,##0.00\ ;_-[$$-409]* "-"??_ ;_-@_ </c:formatCode>
                <c:ptCount val="3"/>
                <c:pt idx="0">
                  <c:v>864.88837044888248</c:v>
                </c:pt>
                <c:pt idx="1">
                  <c:v>837.96340769473068</c:v>
                </c:pt>
                <c:pt idx="2">
                  <c:v>789.64699380192587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8-4CF0-843D-D6CF98D40A2C}"/>
            </c:ext>
          </c:extLst>
        </c:ser>
        <c:ser>
          <c:idx val="1"/>
          <c:order val="1"/>
          <c:tx>
            <c:strRef>
              <c:f>outcome_graphs!$A$14</c:f>
              <c:strCache>
                <c:ptCount val="1"/>
                <c:pt idx="0">
                  <c:v>Cost of pure subsidy policy  ($bn)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cat>
          <c:val>
            <c:numRef>
              <c:f>outcome_graphs!$B$14:$D$14</c:f>
              <c:numCache>
                <c:formatCode>_-[$$-409]* #,##0.00_ ;_-[$$-409]* \-#,##0.00\ ;_-[$$-409]* "-"??_ ;_-@_ </c:formatCode>
                <c:ptCount val="3"/>
                <c:pt idx="0">
                  <c:v>730.0773919579857</c:v>
                </c:pt>
                <c:pt idx="1">
                  <c:v>1320.1423748010438</c:v>
                </c:pt>
                <c:pt idx="2">
                  <c:v>1749.4056682405303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8-47EB-BF9D-1A502D23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176912"/>
        <c:axId val="1459175248"/>
      </c:barChart>
      <c:catAx>
        <c:axId val="14591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5248"/>
        <c:crosses val="autoZero"/>
        <c:auto val="1"/>
        <c:lblAlgn val="ctr"/>
        <c:lblOffset val="100"/>
        <c:noMultiLvlLbl val="0"/>
      </c:catAx>
      <c:valAx>
        <c:axId val="14591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  <a:r>
                  <a:rPr lang="en-US" baseline="0"/>
                  <a:t> (bn)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</a:t>
            </a:r>
            <a:r>
              <a:rPr lang="en-US" baseline="0"/>
              <a:t> SUPERUSERS BEING INCENTIFIED TO BUY AN EV WHILE POLICY REPLACING SAME AMOUNT OF GASOLINE AND COUSING EQUAL AMOUNT OF COSTS  </a:t>
            </a:r>
            <a:endParaRPr lang="en-US"/>
          </a:p>
        </c:rich>
      </c:tx>
      <c:layout>
        <c:manualLayout>
          <c:xMode val="edge"/>
          <c:yMode val="edge"/>
          <c:x val="0.14661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outcome_graphs!$A$49</c:f>
              <c:strCache>
                <c:ptCount val="1"/>
                <c:pt idx="0">
                  <c:v>Share of Superusers being incentives to take subsidy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outcome_graphs!$B$48:$C$48</c:f>
              <c:strCache>
                <c:ptCount val="2"/>
                <c:pt idx="0">
                  <c:v>Subsidy payed per EV sold</c:v>
                </c:pt>
                <c:pt idx="1">
                  <c:v>Subsidy payed per Gallon of Gasoline</c:v>
                </c:pt>
              </c:strCache>
            </c:strRef>
          </c:cat>
          <c:val>
            <c:numRef>
              <c:f>outcome_graphs!$B$49:$C$49</c:f>
              <c:numCache>
                <c:formatCode>0%</c:formatCode>
                <c:ptCount val="2"/>
                <c:pt idx="0">
                  <c:v>0.77</c:v>
                </c:pt>
                <c:pt idx="1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6-4B58-BB7A-C118CA28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24064"/>
        <c:axId val="1001620736"/>
      </c:barChart>
      <c:catAx>
        <c:axId val="10016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0736"/>
        <c:crosses val="autoZero"/>
        <c:auto val="1"/>
        <c:lblAlgn val="ctr"/>
        <c:lblOffset val="100"/>
        <c:noMultiLvlLbl val="0"/>
      </c:catAx>
      <c:valAx>
        <c:axId val="10016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REACHING</a:t>
            </a:r>
            <a:r>
              <a:rPr lang="en-US" baseline="0"/>
              <a:t> 50% EMISSON CUT UNTIL 2030 REQUIERES DIFFERENT LEVELS OF </a:t>
            </a:r>
            <a:r>
              <a:rPr lang="en-US" b="1" baseline="0"/>
              <a:t>SALES IN RELATION TO THE TOTAL FLEET </a:t>
            </a:r>
            <a:r>
              <a:rPr lang="en-US" baseline="0"/>
              <a:t>DEPENDING ON SUPERUSER BEHAVIOUR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cat>
          <c:val>
            <c:numRef>
              <c:f>outcome_graphs!$B$12:$D$12</c:f>
              <c:numCache>
                <c:formatCode>0.00%</c:formatCode>
                <c:ptCount val="3"/>
                <c:pt idx="0">
                  <c:v>3.835232953768445E-2</c:v>
                </c:pt>
                <c:pt idx="1">
                  <c:v>6.9349545613576064E-2</c:v>
                </c:pt>
                <c:pt idx="2">
                  <c:v>9.1899548489668859E-2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A-4310-9F12-C140EED0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6473728"/>
        <c:axId val="1186477056"/>
      </c:barChart>
      <c:lineChart>
        <c:grouping val="standard"/>
        <c:varyColors val="0"/>
        <c:ser>
          <c:idx val="1"/>
          <c:order val="1"/>
          <c:tx>
            <c:strRef>
              <c:f>outcome_graphs!$A$17</c:f>
              <c:strCache>
                <c:ptCount val="1"/>
                <c:pt idx="0">
                  <c:v>2009 - 2019 Average Sales to Registrations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cat>
          <c:val>
            <c:numRef>
              <c:f>outcome_graphs!$B$17:$D$17</c:f>
              <c:numCache>
                <c:formatCode>0.00%</c:formatCode>
                <c:ptCount val="3"/>
                <c:pt idx="0">
                  <c:v>5.7000000000000002E-2</c:v>
                </c:pt>
                <c:pt idx="1">
                  <c:v>5.7000000000000002E-2</c:v>
                </c:pt>
                <c:pt idx="2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A-4310-9F12-C140EED0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473728"/>
        <c:axId val="1186477056"/>
      </c:lineChart>
      <c:catAx>
        <c:axId val="11864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7056"/>
        <c:crosses val="autoZero"/>
        <c:auto val="1"/>
        <c:lblAlgn val="ctr"/>
        <c:lblOffset val="100"/>
        <c:noMultiLvlLbl val="0"/>
      </c:catAx>
      <c:valAx>
        <c:axId val="11864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annual</a:t>
                </a:r>
                <a:r>
                  <a:rPr lang="en-US" baseline="0"/>
                  <a:t> Sales to total vehicle fleet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7118153440696461"/>
          <c:y val="0.93485703667572517"/>
          <c:w val="0.27231889223723577"/>
          <c:h val="5.5310121633025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outcome_graphs!$S$4</c:f>
              <c:strCache>
                <c:ptCount val="1"/>
                <c:pt idx="0">
                  <c:v>EV Usage in Megawatt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outcome_graphs!$R$5:$R$13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outcome_graphs!$S$5:$S$13</c:f>
              <c:numCache>
                <c:formatCode>_(* #,##0.00_);_(* \(#,##0.00\);_(* "-"??_);_(@_)</c:formatCode>
                <c:ptCount val="9"/>
                <c:pt idx="0">
                  <c:v>27235.680410863544</c:v>
                </c:pt>
                <c:pt idx="1">
                  <c:v>55456.203025383809</c:v>
                </c:pt>
                <c:pt idx="2">
                  <c:v>84688.276764124195</c:v>
                </c:pt>
                <c:pt idx="3">
                  <c:v>114959.25441069264</c:v>
                </c:pt>
                <c:pt idx="4">
                  <c:v>146297.14716304751</c:v>
                </c:pt>
                <c:pt idx="5">
                  <c:v>178730.63950050648</c:v>
                </c:pt>
                <c:pt idx="6">
                  <c:v>212289.10437312161</c:v>
                </c:pt>
                <c:pt idx="7">
                  <c:v>247002.61872021441</c:v>
                </c:pt>
                <c:pt idx="8">
                  <c:v>282901.9793250105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4-45C6-9FAA-B6F8A804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32768"/>
        <c:axId val="751031104"/>
      </c:barChart>
      <c:catAx>
        <c:axId val="7510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31104"/>
        <c:crosses val="autoZero"/>
        <c:auto val="1"/>
        <c:lblAlgn val="ctr"/>
        <c:lblOffset val="100"/>
        <c:noMultiLvlLbl val="0"/>
      </c:catAx>
      <c:valAx>
        <c:axId val="751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68580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9369-4CBF-489D-8280-AA12E4749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21</xdr:row>
      <xdr:rowOff>156210</xdr:rowOff>
    </xdr:from>
    <xdr:to>
      <xdr:col>13</xdr:col>
      <xdr:colOff>243840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C060D-D6C0-47FB-A20C-52A9EEA06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129540</xdr:colOff>
      <xdr:row>41</xdr:row>
      <xdr:rowOff>64770</xdr:rowOff>
    </xdr:from>
    <xdr:to>
      <xdr:col>12</xdr:col>
      <xdr:colOff>533400</xdr:colOff>
      <xdr:row>60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831FB-633E-408C-B7DC-100B5729E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1059180</xdr:colOff>
      <xdr:row>19</xdr:row>
      <xdr:rowOff>99060</xdr:rowOff>
    </xdr:from>
    <xdr:to>
      <xdr:col>2</xdr:col>
      <xdr:colOff>1943100</xdr:colOff>
      <xdr:row>40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8B9259-9770-4284-AEDD-570C91D26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587828</xdr:colOff>
      <xdr:row>14</xdr:row>
      <xdr:rowOff>163286</xdr:rowOff>
    </xdr:from>
    <xdr:to>
      <xdr:col>24</xdr:col>
      <xdr:colOff>391885</xdr:colOff>
      <xdr:row>29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E6A1FA-2B5C-4E12-862B-3B7B86C57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/mp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/bestm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/fuel_us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%20Envy/Dropbox/EV_Model/1_Input/emission_electricity_generation_weigh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_model_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FEGEMPG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BESTMILE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GSYRGAL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ed_pollution"/>
      <sheetName val="pollution_by_fuel"/>
      <sheetName val="USA"/>
      <sheetName val="CA"/>
      <sheetName val="WA"/>
    </sheetNames>
    <sheetDataSet>
      <sheetData sheetId="0"/>
      <sheetData sheetId="1">
        <row r="5">
          <cell r="E5">
            <v>2.21</v>
          </cell>
        </row>
        <row r="6">
          <cell r="E6">
            <v>0.91</v>
          </cell>
        </row>
        <row r="7">
          <cell r="E7">
            <v>2.13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 t="str">
            <v>Phoenix-Mesa-Scottsdale, AZ</v>
          </cell>
          <cell r="H2">
            <v>9086</v>
          </cell>
          <cell r="L2">
            <v>453.52912259286899</v>
          </cell>
          <cell r="T2" t="str">
            <v>BMW</v>
          </cell>
          <cell r="V2" t="str">
            <v>X3</v>
          </cell>
          <cell r="Y2">
            <v>2016</v>
          </cell>
          <cell r="AN2">
            <v>870.8137094718561</v>
          </cell>
        </row>
        <row r="3">
          <cell r="H3">
            <v>15000</v>
          </cell>
          <cell r="L3">
            <v>677.08023047211896</v>
          </cell>
          <cell r="T3" t="str">
            <v xml:space="preserve">Buick </v>
          </cell>
          <cell r="V3" t="str">
            <v>Regal (FWD)</v>
          </cell>
          <cell r="Y3">
            <v>2004</v>
          </cell>
          <cell r="AN3">
            <v>1259.48207538322</v>
          </cell>
        </row>
        <row r="4">
          <cell r="H4">
            <v>40000</v>
          </cell>
          <cell r="L4">
            <v>1370.09035818083</v>
          </cell>
          <cell r="T4" t="str">
            <v>Ford</v>
          </cell>
          <cell r="V4" t="str">
            <v>Taurus X</v>
          </cell>
          <cell r="Y4">
            <v>2014</v>
          </cell>
          <cell r="AN4">
            <v>2265.5585814485271</v>
          </cell>
        </row>
        <row r="5">
          <cell r="H5">
            <v>25000</v>
          </cell>
          <cell r="L5">
            <v>1181.0332971902999</v>
          </cell>
          <cell r="T5" t="str">
            <v>Hyundai</v>
          </cell>
          <cell r="V5" t="str">
            <v>Santa Fe</v>
          </cell>
          <cell r="Y5">
            <v>2015</v>
          </cell>
          <cell r="AN5">
            <v>2012.1854800879671</v>
          </cell>
        </row>
        <row r="6">
          <cell r="H6">
            <v>5000</v>
          </cell>
          <cell r="L6">
            <v>221.645898932699</v>
          </cell>
          <cell r="T6" t="str">
            <v>Chevrolet</v>
          </cell>
          <cell r="V6" t="str">
            <v>T-10 Pickup</v>
          </cell>
          <cell r="Y6">
            <v>2000</v>
          </cell>
          <cell r="AN6">
            <v>390.48466244468227</v>
          </cell>
        </row>
        <row r="7">
          <cell r="H7">
            <v>10000</v>
          </cell>
          <cell r="L7">
            <v>467.53035891408098</v>
          </cell>
          <cell r="T7" t="str">
            <v>Toyota</v>
          </cell>
          <cell r="V7" t="str">
            <v>Highlander</v>
          </cell>
          <cell r="Y7">
            <v>2005</v>
          </cell>
          <cell r="AN7">
            <v>788.4899503086026</v>
          </cell>
        </row>
        <row r="8">
          <cell r="H8">
            <v>21000</v>
          </cell>
          <cell r="L8">
            <v>616.64711147996104</v>
          </cell>
          <cell r="T8" t="str">
            <v>Nissan</v>
          </cell>
          <cell r="V8" t="str">
            <v>Sentra</v>
          </cell>
          <cell r="Y8">
            <v>2015</v>
          </cell>
          <cell r="AN8">
            <v>1023.068945204545</v>
          </cell>
        </row>
        <row r="9">
          <cell r="H9">
            <v>6000</v>
          </cell>
          <cell r="L9">
            <v>303.36419113554803</v>
          </cell>
          <cell r="T9" t="str">
            <v>Lincoln</v>
          </cell>
          <cell r="V9" t="str">
            <v>MKX</v>
          </cell>
          <cell r="Y9">
            <v>2013</v>
          </cell>
          <cell r="AN9">
            <v>469.05160019407953</v>
          </cell>
        </row>
        <row r="10">
          <cell r="H10">
            <v>45000</v>
          </cell>
          <cell r="L10">
            <v>2335.0126876181598</v>
          </cell>
          <cell r="T10" t="str">
            <v>Toyota</v>
          </cell>
          <cell r="V10" t="str">
            <v>Tacoma</v>
          </cell>
          <cell r="Y10">
            <v>2010</v>
          </cell>
          <cell r="AN10">
            <v>4113.7086024113023</v>
          </cell>
        </row>
        <row r="11">
          <cell r="H11">
            <v>5000</v>
          </cell>
          <cell r="L11">
            <v>217.32945009909599</v>
          </cell>
          <cell r="T11" t="str">
            <v>Audi</v>
          </cell>
          <cell r="V11" t="str">
            <v>Q5</v>
          </cell>
          <cell r="Y11">
            <v>2013</v>
          </cell>
          <cell r="AN11">
            <v>476.36804382970922</v>
          </cell>
        </row>
        <row r="14">
          <cell r="H14">
            <v>4500</v>
          </cell>
          <cell r="L14">
            <v>203.27504720317</v>
          </cell>
          <cell r="T14" t="str">
            <v>GMC</v>
          </cell>
          <cell r="V14" t="str">
            <v>Terrain</v>
          </cell>
          <cell r="Y14">
            <v>2015</v>
          </cell>
          <cell r="AN14">
            <v>331.03341437036261</v>
          </cell>
        </row>
        <row r="15">
          <cell r="H15">
            <v>6000</v>
          </cell>
          <cell r="L15">
            <v>258.937598212164</v>
          </cell>
          <cell r="T15" t="str">
            <v>Nissan</v>
          </cell>
          <cell r="V15" t="str">
            <v>Rogue</v>
          </cell>
          <cell r="Y15">
            <v>2011</v>
          </cell>
          <cell r="AN15">
            <v>458.14692377005508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todayinenergy/detail.php?id=3739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1070949/worldwide-emission-from-oil-production-by-country/" TargetMode="External"/><Relationship Id="rId2" Type="http://schemas.openxmlformats.org/officeDocument/2006/relationships/hyperlink" Target="https://www.epa.gov/energy/greenhouse-gases-equivalencies-calculator-calculations-and-references" TargetMode="External"/><Relationship Id="rId1" Type="http://schemas.openxmlformats.org/officeDocument/2006/relationships/hyperlink" Target="https://ops.fhwa.dot.gov/freight/freight_analysis/nat_freight_stats/docs/12factsfigures/table5_17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merican.edu/kogod/research/autoindex/2018-autoindex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C8AB-87DE-477D-8FB1-A99F77BBF369}">
  <dimension ref="A1:AE52"/>
  <sheetViews>
    <sheetView topLeftCell="J1" workbookViewId="0">
      <selection activeCell="O14" sqref="O14"/>
    </sheetView>
  </sheetViews>
  <sheetFormatPr defaultRowHeight="14.4" x14ac:dyDescent="0.3"/>
  <cols>
    <col min="13" max="13" width="25.77734375" bestFit="1" customWidth="1"/>
    <col min="14" max="14" width="25.88671875" bestFit="1" customWidth="1"/>
    <col min="15" max="15" width="25.44140625" customWidth="1"/>
    <col min="16" max="16" width="16.5546875" customWidth="1"/>
    <col min="17" max="17" width="12.109375" bestFit="1" customWidth="1"/>
    <col min="18" max="18" width="11.5546875" bestFit="1" customWidth="1"/>
    <col min="28" max="28" width="41.5546875" bestFit="1" customWidth="1"/>
    <col min="29" max="29" width="33.33203125" bestFit="1" customWidth="1"/>
    <col min="30" max="30" width="27.44140625" bestFit="1" customWidth="1"/>
    <col min="31" max="31" width="14.33203125" bestFit="1" customWidth="1"/>
  </cols>
  <sheetData>
    <row r="1" spans="1:31" ht="15" thickBot="1" x14ac:dyDescent="0.35">
      <c r="A1" s="133" t="s">
        <v>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6"/>
      <c r="M1" s="16"/>
      <c r="N1" s="133" t="s">
        <v>2</v>
      </c>
      <c r="O1" s="133"/>
      <c r="P1" s="133"/>
      <c r="Q1" s="133"/>
    </row>
    <row r="2" spans="1:31" ht="18.600000000000001" thickBot="1" x14ac:dyDescent="0.4">
      <c r="A2" s="114"/>
      <c r="B2" s="115">
        <v>10</v>
      </c>
      <c r="C2" s="115">
        <v>9</v>
      </c>
      <c r="D2" s="115">
        <v>8</v>
      </c>
      <c r="E2" s="115">
        <v>7</v>
      </c>
      <c r="F2" s="115">
        <v>6</v>
      </c>
      <c r="G2" s="115">
        <v>5</v>
      </c>
      <c r="H2" s="115">
        <v>4</v>
      </c>
      <c r="I2" s="115">
        <v>3</v>
      </c>
      <c r="J2" s="115">
        <v>2</v>
      </c>
      <c r="K2" s="116">
        <v>1</v>
      </c>
      <c r="L2" s="16"/>
      <c r="M2" s="114" t="s">
        <v>196</v>
      </c>
      <c r="N2" s="115" t="str">
        <f>[1]Sheet1!C1</f>
        <v>FEGEMPG</v>
      </c>
      <c r="O2" s="115" t="str">
        <f>[2]Sheet1!C1</f>
        <v>BESTMILE</v>
      </c>
      <c r="P2" s="115" t="s">
        <v>3</v>
      </c>
      <c r="Q2" s="115" t="str">
        <f>[3]Sheet1!C1</f>
        <v>GSYRGAL</v>
      </c>
      <c r="R2" s="116" t="s">
        <v>4</v>
      </c>
      <c r="V2" s="18" t="s">
        <v>182</v>
      </c>
    </row>
    <row r="3" spans="1:31" x14ac:dyDescent="0.3">
      <c r="A3" s="84">
        <v>1</v>
      </c>
      <c r="B3" s="7">
        <v>0.99999999999999967</v>
      </c>
      <c r="C3" s="7">
        <v>0.99999999999999967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121">
        <v>1</v>
      </c>
      <c r="M3" s="125">
        <v>1</v>
      </c>
      <c r="N3" s="4">
        <v>23.46904361383498</v>
      </c>
      <c r="O3" s="124">
        <v>1249.7666266239801</v>
      </c>
      <c r="P3" s="124">
        <v>53.251706681700647</v>
      </c>
      <c r="Q3" s="124">
        <v>53.375513648853158</v>
      </c>
      <c r="R3" s="126">
        <v>948.734079947498</v>
      </c>
      <c r="V3" s="114" t="s">
        <v>183</v>
      </c>
      <c r="W3" s="115" t="s">
        <v>184</v>
      </c>
      <c r="X3" s="115" t="s">
        <v>185</v>
      </c>
      <c r="Y3" s="115" t="s">
        <v>186</v>
      </c>
      <c r="Z3" s="115" t="s">
        <v>187</v>
      </c>
      <c r="AA3" s="115" t="s">
        <v>188</v>
      </c>
      <c r="AB3" s="115" t="s">
        <v>189</v>
      </c>
      <c r="AC3" s="115" t="s">
        <v>190</v>
      </c>
      <c r="AD3" s="115" t="s">
        <v>191</v>
      </c>
      <c r="AE3" s="116" t="s">
        <v>192</v>
      </c>
    </row>
    <row r="4" spans="1:31" x14ac:dyDescent="0.3">
      <c r="A4" s="84">
        <v>2</v>
      </c>
      <c r="B4" s="7">
        <f>B3-(($B$3-$B$12)/9)</f>
        <v>0.88888888888888862</v>
      </c>
      <c r="C4" s="7">
        <f>C3-(($C$3-$C$12)/9)</f>
        <v>0.88888888888888862</v>
      </c>
      <c r="D4" s="7">
        <f>D3-(($D$3-$D$12)/9)</f>
        <v>0.88888888888888884</v>
      </c>
      <c r="E4" s="7">
        <f>E3-(($E$3-$E$12)/9)</f>
        <v>0.93874583333333339</v>
      </c>
      <c r="F4" s="7">
        <f>F3-(($F$3-$F$12)/9)</f>
        <v>1</v>
      </c>
      <c r="G4" s="7">
        <f>G3-(($G$3-$G$12)/9)</f>
        <v>1</v>
      </c>
      <c r="H4" s="7">
        <f>H3-(($H$3-$H$12)/9)</f>
        <v>1</v>
      </c>
      <c r="I4" s="7">
        <f>I3-(($I$3-$I$12)/9)</f>
        <v>1</v>
      </c>
      <c r="J4" s="7">
        <f>J3-(($J$3-$J$12)/9)</f>
        <v>1</v>
      </c>
      <c r="K4" s="121">
        <f>K3-(($K$3-$K$12)/9)</f>
        <v>1</v>
      </c>
      <c r="M4" s="125">
        <v>2</v>
      </c>
      <c r="N4" s="4">
        <v>23.306814918147129</v>
      </c>
      <c r="O4" s="124">
        <v>3396.987483644421</v>
      </c>
      <c r="P4" s="124">
        <v>145.75082419346205</v>
      </c>
      <c r="Q4" s="124">
        <v>145.86770153677861</v>
      </c>
      <c r="R4" s="126">
        <v>3212.8182862665021</v>
      </c>
      <c r="V4" s="84">
        <v>2010</v>
      </c>
      <c r="W4" s="6">
        <v>1.350180675594816E-2</v>
      </c>
      <c r="X4" s="6">
        <v>0.23929843174595841</v>
      </c>
      <c r="Y4" s="6">
        <v>0.10412836092208812</v>
      </c>
      <c r="Z4" s="6">
        <v>0.19551150921738081</v>
      </c>
      <c r="AA4" s="6">
        <v>0.44755989135862451</v>
      </c>
      <c r="AB4" s="6">
        <f>W4/(W4+X4+AA4)</f>
        <v>1.927837719522511E-2</v>
      </c>
      <c r="AC4" s="6">
        <f>X4/(AA4+X4+W4)</f>
        <v>0.34167911841813731</v>
      </c>
      <c r="AD4" s="6">
        <f>AA4/(AA4+X4+W4)</f>
        <v>0.63904250438663757</v>
      </c>
      <c r="AE4" s="24">
        <f>(AB4*[4]pollution_by_fuel!$E$7)+(AC4*[4]pollution_by_fuel!$E$6)+(AD4*[4]pollution_by_fuel!$E$5)</f>
        <v>1.7642748758808033</v>
      </c>
    </row>
    <row r="5" spans="1:31" x14ac:dyDescent="0.3">
      <c r="A5" s="84">
        <v>3</v>
      </c>
      <c r="B5" s="7">
        <f t="shared" ref="B5:B11" si="0">B4-(($B$3-$B$12)/9)</f>
        <v>0.77777777777777757</v>
      </c>
      <c r="C5" s="7">
        <f t="shared" ref="C5:C11" si="1">C4-(($C$3-$C$12)/9)</f>
        <v>0.77777777777777757</v>
      </c>
      <c r="D5" s="7">
        <f t="shared" ref="D5:D11" si="2">D4-(($D$3-$D$12)/9)</f>
        <v>0.77777777777777768</v>
      </c>
      <c r="E5" s="7">
        <f t="shared" ref="E5:E11" si="3">E4-(($E$3-$E$12)/9)</f>
        <v>0.87749166666666678</v>
      </c>
      <c r="F5" s="7">
        <f t="shared" ref="F5:F11" si="4">F4-(($F$3-$F$12)/9)</f>
        <v>1</v>
      </c>
      <c r="G5" s="7">
        <f t="shared" ref="G5:G11" si="5">G4-(($G$3-$G$12)/9)</f>
        <v>1</v>
      </c>
      <c r="H5" s="7">
        <f t="shared" ref="H5:H11" si="6">H4-(($H$3-$H$12)/9)</f>
        <v>1</v>
      </c>
      <c r="I5" s="7">
        <f t="shared" ref="I5:I11" si="7">I4-(($I$3-$I$12)/9)</f>
        <v>1</v>
      </c>
      <c r="J5" s="7">
        <f t="shared" ref="J5:J11" si="8">J4-(($J$3-$J$12)/9)</f>
        <v>1</v>
      </c>
      <c r="K5" s="121">
        <f t="shared" ref="K5:K11" si="9">K4-(($K$3-$K$12)/9)</f>
        <v>1</v>
      </c>
      <c r="M5" s="125">
        <v>3</v>
      </c>
      <c r="N5" s="4">
        <v>23.003569523653219</v>
      </c>
      <c r="O5" s="124">
        <v>5170.908917494894</v>
      </c>
      <c r="P5" s="124">
        <v>224.78724061402522</v>
      </c>
      <c r="Q5" s="124">
        <v>224.8451904288699</v>
      </c>
      <c r="R5" s="126">
        <v>5254.5156172400439</v>
      </c>
      <c r="V5" s="84">
        <v>2011</v>
      </c>
      <c r="W5" s="6">
        <v>1.2057091353503102E-2</v>
      </c>
      <c r="X5" s="6">
        <v>0.2470022575729022</v>
      </c>
      <c r="Y5" s="6">
        <v>0.12601502774882342</v>
      </c>
      <c r="Z5" s="6">
        <v>0.19254641770201045</v>
      </c>
      <c r="AA5" s="6">
        <v>0.42237920562276077</v>
      </c>
      <c r="AB5" s="6">
        <f t="shared" ref="AB5:AB44" si="10">W5/(W5+X5+AA5)</f>
        <v>1.7693585537554402E-2</v>
      </c>
      <c r="AC5" s="6">
        <f t="shared" ref="AC5:AC44" si="11">X5/(AA5+X5+W5)</f>
        <v>0.36247179723536016</v>
      </c>
      <c r="AD5" s="6">
        <f t="shared" ref="AD5:AD44" si="12">AA5/(AA5+X5+W5)</f>
        <v>0.61983461722708555</v>
      </c>
      <c r="AE5" s="24">
        <f>(AB5*[4]pollution_by_fuel!$E$7)+(AC5*[4]pollution_by_fuel!$E$6)+(AD5*[4]pollution_by_fuel!$E$5)</f>
        <v>1.7373711767510278</v>
      </c>
    </row>
    <row r="6" spans="1:31" x14ac:dyDescent="0.3">
      <c r="A6" s="84">
        <v>4</v>
      </c>
      <c r="B6" s="7">
        <f t="shared" si="0"/>
        <v>0.66666666666666652</v>
      </c>
      <c r="C6" s="7">
        <f t="shared" si="1"/>
        <v>0.66666666666666652</v>
      </c>
      <c r="D6" s="7">
        <f t="shared" si="2"/>
        <v>0.66666666666666652</v>
      </c>
      <c r="E6" s="7">
        <f t="shared" si="3"/>
        <v>0.81623750000000017</v>
      </c>
      <c r="F6" s="7">
        <f t="shared" si="4"/>
        <v>1</v>
      </c>
      <c r="G6" s="7">
        <f t="shared" si="5"/>
        <v>1</v>
      </c>
      <c r="H6" s="7">
        <f t="shared" si="6"/>
        <v>1</v>
      </c>
      <c r="I6" s="7">
        <f t="shared" si="7"/>
        <v>1</v>
      </c>
      <c r="J6" s="7">
        <f t="shared" si="8"/>
        <v>1</v>
      </c>
      <c r="K6" s="121">
        <f t="shared" si="9"/>
        <v>1</v>
      </c>
      <c r="M6" s="125">
        <v>4</v>
      </c>
      <c r="N6" s="4">
        <v>22.640257662167151</v>
      </c>
      <c r="O6" s="124">
        <v>6792.3395733958232</v>
      </c>
      <c r="P6" s="124">
        <v>300.01158444173171</v>
      </c>
      <c r="Q6" s="124">
        <v>300.05233857244718</v>
      </c>
      <c r="R6" s="126">
        <v>7185.187816049619</v>
      </c>
      <c r="V6" s="84">
        <v>2012</v>
      </c>
      <c r="W6" s="6">
        <v>1.0834941853648377E-2</v>
      </c>
      <c r="X6" s="6">
        <v>0.30239750778433938</v>
      </c>
      <c r="Y6" s="6">
        <v>0.12351616668715686</v>
      </c>
      <c r="Z6" s="6">
        <v>0.18977476343847838</v>
      </c>
      <c r="AA6" s="6">
        <v>0.37347662023637695</v>
      </c>
      <c r="AB6" s="6">
        <f t="shared" si="10"/>
        <v>1.5778067203380111E-2</v>
      </c>
      <c r="AC6" s="6">
        <f t="shared" si="11"/>
        <v>0.44035752700872849</v>
      </c>
      <c r="AD6" s="6">
        <f t="shared" si="12"/>
        <v>0.54386440578789141</v>
      </c>
      <c r="AE6" s="24">
        <f>(AB6*[4]pollution_by_fuel!$E$7)+(AC6*[4]pollution_by_fuel!$E$6)+(AD6*[4]pollution_by_fuel!$E$5)</f>
        <v>1.6362729695123825</v>
      </c>
    </row>
    <row r="7" spans="1:31" x14ac:dyDescent="0.3">
      <c r="A7" s="84">
        <v>5</v>
      </c>
      <c r="B7" s="7">
        <f t="shared" si="0"/>
        <v>0.55555555555555547</v>
      </c>
      <c r="C7" s="7">
        <f t="shared" si="1"/>
        <v>0.55555555555555547</v>
      </c>
      <c r="D7" s="7">
        <f t="shared" si="2"/>
        <v>0.55555555555555536</v>
      </c>
      <c r="E7" s="7">
        <f t="shared" si="3"/>
        <v>0.75498333333333356</v>
      </c>
      <c r="F7" s="7">
        <f t="shared" si="4"/>
        <v>1</v>
      </c>
      <c r="G7" s="7">
        <f t="shared" si="5"/>
        <v>1</v>
      </c>
      <c r="H7" s="7">
        <f t="shared" si="6"/>
        <v>1</v>
      </c>
      <c r="I7" s="7">
        <f t="shared" si="7"/>
        <v>1</v>
      </c>
      <c r="J7" s="7">
        <f t="shared" si="8"/>
        <v>1</v>
      </c>
      <c r="K7" s="121">
        <f t="shared" si="9"/>
        <v>1</v>
      </c>
      <c r="M7" s="125">
        <v>5</v>
      </c>
      <c r="N7" s="4">
        <v>22.256800557994499</v>
      </c>
      <c r="O7" s="124">
        <v>8380.1516858629893</v>
      </c>
      <c r="P7" s="124">
        <v>376.52094981157984</v>
      </c>
      <c r="Q7" s="124">
        <v>376.63785071467282</v>
      </c>
      <c r="R7" s="126">
        <v>9132.9607429768439</v>
      </c>
      <c r="V7" s="84">
        <v>2013</v>
      </c>
      <c r="W7" s="6">
        <v>1.2008638879232444E-2</v>
      </c>
      <c r="X7" s="6">
        <v>0.27609454129122102</v>
      </c>
      <c r="Y7" s="6">
        <v>0.13014053819647531</v>
      </c>
      <c r="Z7" s="6">
        <v>0.19366653965974728</v>
      </c>
      <c r="AA7" s="6">
        <v>0.38808974197332385</v>
      </c>
      <c r="AB7" s="6">
        <f t="shared" si="10"/>
        <v>1.7759190441036701E-2</v>
      </c>
      <c r="AC7" s="6">
        <f t="shared" si="11"/>
        <v>0.40830735171835431</v>
      </c>
      <c r="AD7" s="6">
        <f t="shared" si="12"/>
        <v>0.57393345784060912</v>
      </c>
      <c r="AE7" s="24">
        <f>(AB7*[4]pollution_by_fuel!$E$7)+(AC7*[4]pollution_by_fuel!$E$6)+(AD7*[4]pollution_by_fuel!$E$5)</f>
        <v>1.6777797075308567</v>
      </c>
    </row>
    <row r="8" spans="1:31" x14ac:dyDescent="0.3">
      <c r="A8" s="84">
        <v>6</v>
      </c>
      <c r="B8" s="7">
        <f t="shared" si="0"/>
        <v>0.44444444444444442</v>
      </c>
      <c r="C8" s="7">
        <f t="shared" si="1"/>
        <v>0.44444444444444442</v>
      </c>
      <c r="D8" s="7">
        <f t="shared" si="2"/>
        <v>0.44444444444444425</v>
      </c>
      <c r="E8" s="7">
        <f t="shared" si="3"/>
        <v>0.69372916666666695</v>
      </c>
      <c r="F8" s="7">
        <f t="shared" si="4"/>
        <v>1</v>
      </c>
      <c r="G8" s="7">
        <f t="shared" si="5"/>
        <v>1</v>
      </c>
      <c r="H8" s="7">
        <f t="shared" si="6"/>
        <v>1</v>
      </c>
      <c r="I8" s="7">
        <f t="shared" si="7"/>
        <v>1</v>
      </c>
      <c r="J8" s="7">
        <f t="shared" si="8"/>
        <v>1</v>
      </c>
      <c r="K8" s="121">
        <f t="shared" si="9"/>
        <v>1</v>
      </c>
      <c r="M8" s="125">
        <v>6</v>
      </c>
      <c r="N8" s="4">
        <v>21.75882159855572</v>
      </c>
      <c r="O8" s="124">
        <v>10007.694498827799</v>
      </c>
      <c r="P8" s="124">
        <v>459.93733867885925</v>
      </c>
      <c r="Q8" s="124">
        <v>460.09478064333217</v>
      </c>
      <c r="R8" s="126">
        <v>11242.980833781599</v>
      </c>
      <c r="V8" s="84">
        <v>2014</v>
      </c>
      <c r="W8" s="6">
        <v>1.2069019526252089E-2</v>
      </c>
      <c r="X8" s="6">
        <v>0.27445876682220349</v>
      </c>
      <c r="Y8" s="6">
        <v>0.13394240891560105</v>
      </c>
      <c r="Z8" s="6">
        <v>0.1942015423887555</v>
      </c>
      <c r="AA8" s="6">
        <v>0.38532826234718776</v>
      </c>
      <c r="AB8" s="6">
        <f t="shared" si="10"/>
        <v>1.796369854775165E-2</v>
      </c>
      <c r="AC8" s="6">
        <f t="shared" si="11"/>
        <v>0.40850829185067844</v>
      </c>
      <c r="AD8" s="6">
        <f t="shared" si="12"/>
        <v>0.57352800960156991</v>
      </c>
      <c r="AE8" s="24">
        <f>(AB8*[4]pollution_by_fuel!$E$7)+(AC8*[4]pollution_by_fuel!$E$6)+(AD8*[4]pollution_by_fuel!$E$5)</f>
        <v>1.6775021247102979</v>
      </c>
    </row>
    <row r="9" spans="1:31" x14ac:dyDescent="0.3">
      <c r="A9" s="84">
        <v>7</v>
      </c>
      <c r="B9" s="7">
        <f t="shared" si="0"/>
        <v>0.33333333333333337</v>
      </c>
      <c r="C9" s="7">
        <f t="shared" si="1"/>
        <v>0.33333333333333337</v>
      </c>
      <c r="D9" s="7">
        <f t="shared" si="2"/>
        <v>0.33333333333333315</v>
      </c>
      <c r="E9" s="7">
        <f t="shared" si="3"/>
        <v>0.63247500000000034</v>
      </c>
      <c r="F9" s="7">
        <f t="shared" si="4"/>
        <v>1</v>
      </c>
      <c r="G9" s="7">
        <f t="shared" si="5"/>
        <v>1</v>
      </c>
      <c r="H9" s="7">
        <f t="shared" si="6"/>
        <v>1</v>
      </c>
      <c r="I9" s="7">
        <f t="shared" si="7"/>
        <v>1</v>
      </c>
      <c r="J9" s="7">
        <f t="shared" si="8"/>
        <v>1</v>
      </c>
      <c r="K9" s="121">
        <f t="shared" si="9"/>
        <v>1</v>
      </c>
      <c r="M9" s="125">
        <v>7</v>
      </c>
      <c r="N9" s="4">
        <v>21.201329339843269</v>
      </c>
      <c r="O9" s="124">
        <v>11819.162693827549</v>
      </c>
      <c r="P9" s="124">
        <v>557.47271807225854</v>
      </c>
      <c r="Q9" s="124">
        <v>557.70808215710349</v>
      </c>
      <c r="R9" s="126">
        <v>13699.115224845271</v>
      </c>
      <c r="V9" s="84">
        <v>2015</v>
      </c>
      <c r="W9" s="6">
        <v>1.2293459376096022E-2</v>
      </c>
      <c r="X9" s="6">
        <v>0.32589608402914327</v>
      </c>
      <c r="Y9" s="6">
        <v>0.136465227235397</v>
      </c>
      <c r="Z9" s="6">
        <v>0.19482615216651419</v>
      </c>
      <c r="AA9" s="6">
        <v>0.33051907719284956</v>
      </c>
      <c r="AB9" s="6">
        <f t="shared" si="10"/>
        <v>1.8383880508525265E-2</v>
      </c>
      <c r="AC9" s="6">
        <f t="shared" si="11"/>
        <v>0.48735140237561736</v>
      </c>
      <c r="AD9" s="6">
        <f t="shared" si="12"/>
        <v>0.49426471711585734</v>
      </c>
      <c r="AE9" s="24">
        <f>(AB9*[4]pollution_by_fuel!$E$7)+(AC9*[4]pollution_by_fuel!$E$6)+(AD9*[4]pollution_by_fuel!$E$5)</f>
        <v>1.5749724664710154</v>
      </c>
    </row>
    <row r="10" spans="1:31" x14ac:dyDescent="0.3">
      <c r="A10" s="84">
        <v>8</v>
      </c>
      <c r="B10" s="7">
        <f t="shared" si="0"/>
        <v>0.22222222222222229</v>
      </c>
      <c r="C10" s="7">
        <f t="shared" si="1"/>
        <v>0.22222222222222229</v>
      </c>
      <c r="D10" s="7">
        <f t="shared" si="2"/>
        <v>0.22222222222222204</v>
      </c>
      <c r="E10" s="7">
        <f t="shared" si="3"/>
        <v>0.57122083333333373</v>
      </c>
      <c r="F10" s="7">
        <f t="shared" si="4"/>
        <v>1</v>
      </c>
      <c r="G10" s="7">
        <f t="shared" si="5"/>
        <v>1</v>
      </c>
      <c r="H10" s="7">
        <f t="shared" si="6"/>
        <v>1</v>
      </c>
      <c r="I10" s="7">
        <f t="shared" si="7"/>
        <v>1</v>
      </c>
      <c r="J10" s="7">
        <f t="shared" si="8"/>
        <v>1</v>
      </c>
      <c r="K10" s="121">
        <f t="shared" si="9"/>
        <v>1</v>
      </c>
      <c r="M10" s="125">
        <v>8</v>
      </c>
      <c r="N10" s="4">
        <v>20.567143970787349</v>
      </c>
      <c r="O10" s="124">
        <v>14045.54607745975</v>
      </c>
      <c r="P10" s="124">
        <v>682.91183731729677</v>
      </c>
      <c r="Q10" s="124">
        <v>683.28168121620035</v>
      </c>
      <c r="R10" s="126">
        <v>16842.298143910339</v>
      </c>
      <c r="V10" s="84">
        <v>2016</v>
      </c>
      <c r="W10" s="6">
        <v>1.076313785859568E-2</v>
      </c>
      <c r="X10" s="6">
        <v>0.33654283715887573</v>
      </c>
      <c r="Y10" s="6">
        <v>0.15340237132779524</v>
      </c>
      <c r="Z10" s="6">
        <v>0.19672725860485529</v>
      </c>
      <c r="AA10" s="6">
        <v>0.30256439504987798</v>
      </c>
      <c r="AB10" s="6">
        <f t="shared" si="10"/>
        <v>1.6561976594624925E-2</v>
      </c>
      <c r="AC10" s="6">
        <f t="shared" si="11"/>
        <v>0.51786148847499858</v>
      </c>
      <c r="AD10" s="6">
        <f t="shared" si="12"/>
        <v>0.46557653493037648</v>
      </c>
      <c r="AE10" s="24">
        <f>(AB10*[4]pollution_by_fuel!$E$7)+(AC10*[4]pollution_by_fuel!$E$6)+(AD10*[4]pollution_by_fuel!$E$5)</f>
        <v>1.5354551068549318</v>
      </c>
    </row>
    <row r="11" spans="1:31" x14ac:dyDescent="0.3">
      <c r="A11" s="84">
        <v>9</v>
      </c>
      <c r="B11" s="7">
        <f t="shared" si="0"/>
        <v>0.11111111111111122</v>
      </c>
      <c r="C11" s="7">
        <f t="shared" si="1"/>
        <v>0.11111111111111122</v>
      </c>
      <c r="D11" s="7">
        <f t="shared" si="2"/>
        <v>0.11111111111111094</v>
      </c>
      <c r="E11" s="7">
        <f t="shared" si="3"/>
        <v>0.50996666666666712</v>
      </c>
      <c r="F11" s="7">
        <f t="shared" si="4"/>
        <v>1</v>
      </c>
      <c r="G11" s="7">
        <f t="shared" si="5"/>
        <v>1</v>
      </c>
      <c r="H11" s="7">
        <f t="shared" si="6"/>
        <v>1</v>
      </c>
      <c r="I11" s="7">
        <f t="shared" si="7"/>
        <v>1</v>
      </c>
      <c r="J11" s="7">
        <f t="shared" si="8"/>
        <v>1</v>
      </c>
      <c r="K11" s="121">
        <f t="shared" si="9"/>
        <v>1</v>
      </c>
      <c r="M11" s="125">
        <v>9</v>
      </c>
      <c r="N11" s="4">
        <v>19.82907315472039</v>
      </c>
      <c r="O11" s="124">
        <v>17420.973935629281</v>
      </c>
      <c r="P11" s="124">
        <v>878.55714685696989</v>
      </c>
      <c r="Q11" s="124">
        <v>879.49991527370355</v>
      </c>
      <c r="R11" s="126">
        <v>21738.74747320712</v>
      </c>
      <c r="V11" s="84">
        <v>2017</v>
      </c>
      <c r="W11" s="6">
        <v>9.969816526142615E-3</v>
      </c>
      <c r="X11" s="6">
        <v>0.31945765484126509</v>
      </c>
      <c r="Y11" s="6">
        <v>0.17509297352727751</v>
      </c>
      <c r="Z11" s="6">
        <v>0.19834851221678784</v>
      </c>
      <c r="AA11" s="6">
        <v>0.29713104288852688</v>
      </c>
      <c r="AB11" s="6">
        <f t="shared" si="10"/>
        <v>1.5912027846245461E-2</v>
      </c>
      <c r="AC11" s="6">
        <f t="shared" si="11"/>
        <v>0.50986084710800705</v>
      </c>
      <c r="AD11" s="6">
        <f t="shared" si="12"/>
        <v>0.47422712504574754</v>
      </c>
      <c r="AE11" s="24">
        <f>(AB11*[4]pollution_by_fuel!$E$7)+(AC11*[4]pollution_by_fuel!$E$6)+(AD11*[4]pollution_by_fuel!$E$5)</f>
        <v>1.5459079365318913</v>
      </c>
    </row>
    <row r="12" spans="1:31" ht="15" thickBot="1" x14ac:dyDescent="0.35">
      <c r="A12" s="117">
        <v>10</v>
      </c>
      <c r="B12" s="122">
        <f>input_output!A27</f>
        <v>0</v>
      </c>
      <c r="C12" s="122">
        <f>input_output!B27</f>
        <v>0</v>
      </c>
      <c r="D12" s="122">
        <f>input_output!C27</f>
        <v>0</v>
      </c>
      <c r="E12" s="122">
        <f>input_output!D27</f>
        <v>0.44871250000000001</v>
      </c>
      <c r="F12" s="122">
        <f>input_output!E27</f>
        <v>1</v>
      </c>
      <c r="G12" s="122">
        <f>input_output!F27</f>
        <v>1</v>
      </c>
      <c r="H12" s="122">
        <f>input_output!G27</f>
        <v>1</v>
      </c>
      <c r="I12" s="122">
        <f>input_output!H27</f>
        <v>1</v>
      </c>
      <c r="J12" s="122">
        <f>input_output!I27</f>
        <v>1</v>
      </c>
      <c r="K12" s="123">
        <f>input_output!J27</f>
        <v>1</v>
      </c>
      <c r="M12" s="127">
        <v>10</v>
      </c>
      <c r="N12" s="39">
        <v>18.491404422927008</v>
      </c>
      <c r="O12" s="128">
        <v>30348.047945820159</v>
      </c>
      <c r="P12" s="128">
        <v>1641.1975668106857</v>
      </c>
      <c r="Q12" s="128">
        <v>1654.2834917512409</v>
      </c>
      <c r="R12" s="129">
        <v>29145.557676900538</v>
      </c>
      <c r="V12" s="84">
        <v>2018</v>
      </c>
      <c r="W12" s="6">
        <v>1.0874406169077394E-2</v>
      </c>
      <c r="X12" s="6">
        <v>0.34914370444906501</v>
      </c>
      <c r="Y12" s="6">
        <v>0.17499695392500184</v>
      </c>
      <c r="Z12" s="6">
        <v>0.19180588725176093</v>
      </c>
      <c r="AA12" s="6">
        <v>0.27317904820509481</v>
      </c>
      <c r="AB12" s="6">
        <f t="shared" si="10"/>
        <v>1.7173807585123869E-2</v>
      </c>
      <c r="AC12" s="6">
        <f t="shared" si="11"/>
        <v>0.55139809075885582</v>
      </c>
      <c r="AD12" s="6">
        <f t="shared" si="12"/>
        <v>0.43142810165602025</v>
      </c>
      <c r="AE12" s="24">
        <f>(AB12*[4]pollution_by_fuel!$E$7)+(AC12*[4]pollution_by_fuel!$E$6)+(AD12*[4]pollution_by_fuel!$E$5)</f>
        <v>1.4918085774066774</v>
      </c>
    </row>
    <row r="13" spans="1:31" x14ac:dyDescent="0.3">
      <c r="V13" s="84">
        <v>2019</v>
      </c>
      <c r="W13" s="6">
        <v>9.6898507091064904E-3</v>
      </c>
      <c r="X13" s="6">
        <v>0.38087655396869285</v>
      </c>
      <c r="Y13" s="6">
        <v>0.18190690455889647</v>
      </c>
      <c r="Z13" s="6">
        <v>0.19489314228235724</v>
      </c>
      <c r="AA13" s="6">
        <v>0.23263354848094678</v>
      </c>
      <c r="AB13" s="6">
        <f t="shared" si="10"/>
        <v>1.5548542101122751E-2</v>
      </c>
      <c r="AC13" s="6">
        <f t="shared" si="11"/>
        <v>0.61116268067445312</v>
      </c>
      <c r="AD13" s="6">
        <f t="shared" si="12"/>
        <v>0.37328877722442422</v>
      </c>
      <c r="AE13" s="24">
        <f>(AB13*[4]pollution_by_fuel!$E$7)+(AC13*[4]pollution_by_fuel!$E$6)+(AD13*[4]pollution_by_fuel!$E$5)</f>
        <v>1.4142446317551212</v>
      </c>
    </row>
    <row r="14" spans="1:31" x14ac:dyDescent="0.3">
      <c r="O14" s="16" t="s">
        <v>197</v>
      </c>
      <c r="V14" s="84">
        <v>2020</v>
      </c>
      <c r="W14" s="6">
        <v>7.8775898354884986E-3</v>
      </c>
      <c r="X14" s="6">
        <v>0.40293835426997893</v>
      </c>
      <c r="Y14" s="6">
        <v>0.20538785609172244</v>
      </c>
      <c r="Z14" s="6">
        <v>0.19324132469972063</v>
      </c>
      <c r="AA14" s="6">
        <v>0.19055487510308955</v>
      </c>
      <c r="AB14" s="6">
        <f t="shared" si="10"/>
        <v>1.3099388237453753E-2</v>
      </c>
      <c r="AC14" s="6">
        <f t="shared" si="11"/>
        <v>0.67003310004345062</v>
      </c>
      <c r="AD14" s="6">
        <f t="shared" si="12"/>
        <v>0.31686751171909561</v>
      </c>
      <c r="AE14" s="24">
        <f>(AB14*[4]pollution_by_fuel!$E$7)+(AC14*[4]pollution_by_fuel!$E$6)+(AD14*[4]pollution_by_fuel!$E$5)</f>
        <v>1.3379090188845177</v>
      </c>
    </row>
    <row r="15" spans="1:31" x14ac:dyDescent="0.3">
      <c r="O15" s="4" t="s">
        <v>5</v>
      </c>
      <c r="P15" s="4">
        <v>7.5895567698846299E-3</v>
      </c>
      <c r="Q15" s="4" t="s">
        <v>0</v>
      </c>
      <c r="R15" s="4"/>
      <c r="V15" s="84">
        <v>2021</v>
      </c>
      <c r="W15" s="6">
        <v>6.8593201828761078E-3</v>
      </c>
      <c r="X15" s="6">
        <v>0.34941902400086533</v>
      </c>
      <c r="Y15" s="6">
        <v>0.2272255655879552</v>
      </c>
      <c r="Z15" s="6">
        <v>0.18608710620843733</v>
      </c>
      <c r="AA15" s="6">
        <v>0.23040898401986609</v>
      </c>
      <c r="AB15" s="6">
        <f t="shared" si="10"/>
        <v>1.169161127764397E-2</v>
      </c>
      <c r="AC15" s="6">
        <f t="shared" si="11"/>
        <v>0.59557963365385791</v>
      </c>
      <c r="AD15" s="6">
        <f t="shared" si="12"/>
        <v>0.39272875506849797</v>
      </c>
      <c r="AE15" s="24">
        <f>(AB15*[4]pollution_by_fuel!$E$7)+(AC15*[4]pollution_by_fuel!$E$6)+(AD15*[4]pollution_by_fuel!$E$5)</f>
        <v>1.4348111473477729</v>
      </c>
    </row>
    <row r="16" spans="1:31" x14ac:dyDescent="0.3">
      <c r="B16" s="10"/>
      <c r="O16" s="4" t="s">
        <v>6</v>
      </c>
      <c r="P16" s="4">
        <f>1/1000000</f>
        <v>9.9999999999999995E-7</v>
      </c>
      <c r="Q16" s="4" t="s">
        <v>7</v>
      </c>
      <c r="R16" s="4"/>
      <c r="V16" s="84">
        <v>2022</v>
      </c>
      <c r="W16" s="6">
        <v>6.9140438359453632E-3</v>
      </c>
      <c r="X16" s="6">
        <v>0.34301195147349178</v>
      </c>
      <c r="Y16" s="6">
        <v>0.23595366200711532</v>
      </c>
      <c r="Z16" s="6">
        <v>0.17639776502131665</v>
      </c>
      <c r="AA16" s="6">
        <v>0.23772257766213081</v>
      </c>
      <c r="AB16" s="6">
        <f t="shared" si="10"/>
        <v>1.1765609845665164E-2</v>
      </c>
      <c r="AC16" s="6">
        <f t="shared" si="11"/>
        <v>0.5837025175420405</v>
      </c>
      <c r="AD16" s="6">
        <f t="shared" si="12"/>
        <v>0.40453187261229417</v>
      </c>
      <c r="AE16" s="24">
        <f>(AB16*[4]pollution_by_fuel!$E$7)+(AC16*[4]pollution_by_fuel!$E$6)+(AD16*[4]pollution_by_fuel!$E$5)</f>
        <v>1.4502454784076937</v>
      </c>
    </row>
    <row r="17" spans="2:31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O17" s="4" t="s">
        <v>8</v>
      </c>
      <c r="P17" s="4">
        <v>0.90700000000000003</v>
      </c>
      <c r="Q17" s="4" t="s">
        <v>9</v>
      </c>
      <c r="R17" s="4"/>
      <c r="S17" s="16"/>
      <c r="T17" s="16"/>
      <c r="U17" s="16"/>
      <c r="V17" s="84">
        <v>2023</v>
      </c>
      <c r="W17" s="6">
        <v>6.6551882865944238E-3</v>
      </c>
      <c r="X17" s="6">
        <v>0.35338020706976464</v>
      </c>
      <c r="Y17" s="6">
        <v>0.25657127068720265</v>
      </c>
      <c r="Z17" s="6">
        <v>0.17727956410442991</v>
      </c>
      <c r="AA17" s="6">
        <v>0.20611376985200827</v>
      </c>
      <c r="AB17" s="6">
        <f t="shared" si="10"/>
        <v>1.1755185197782686E-2</v>
      </c>
      <c r="AC17" s="6">
        <f t="shared" si="11"/>
        <v>0.62418215690507195</v>
      </c>
      <c r="AD17" s="6">
        <f t="shared" si="12"/>
        <v>0.36406265789714537</v>
      </c>
      <c r="AE17" s="24">
        <f>(AB17*[4]pollution_by_fuel!$E$7)+(AC17*[4]pollution_by_fuel!$E$6)+(AD17*[4]pollution_by_fuel!$E$5)</f>
        <v>1.3976227812075837</v>
      </c>
    </row>
    <row r="18" spans="2:31" x14ac:dyDescent="0.3">
      <c r="B18" s="10"/>
      <c r="O18" s="4"/>
      <c r="P18" s="4"/>
      <c r="Q18" s="4"/>
      <c r="R18" s="4"/>
      <c r="S18" s="10"/>
      <c r="T18" s="10"/>
      <c r="U18" s="10"/>
      <c r="V18" s="84">
        <v>2024</v>
      </c>
      <c r="W18" s="6">
        <v>6.42766807303451E-3</v>
      </c>
      <c r="X18" s="6">
        <v>0.34700324166029844</v>
      </c>
      <c r="Y18" s="6">
        <v>0.28816366535872801</v>
      </c>
      <c r="Z18" s="6">
        <v>0.17598751116766906</v>
      </c>
      <c r="AA18" s="6">
        <v>0.1824179137402698</v>
      </c>
      <c r="AB18" s="6">
        <f t="shared" si="10"/>
        <v>1.199530127054791E-2</v>
      </c>
      <c r="AC18" s="6">
        <f t="shared" si="11"/>
        <v>0.64757675385171898</v>
      </c>
      <c r="AD18" s="6">
        <f t="shared" si="12"/>
        <v>0.34042794487773315</v>
      </c>
      <c r="AE18" s="24">
        <f>(AB18*[4]pollution_by_fuel!$E$7)+(AC18*[4]pollution_by_fuel!$E$6)+(AD18*[4]pollution_by_fuel!$E$5)</f>
        <v>1.3671905958911217</v>
      </c>
    </row>
    <row r="19" spans="2:31" x14ac:dyDescent="0.3">
      <c r="B19" s="10"/>
      <c r="N19" s="37"/>
      <c r="O19" s="4">
        <v>11.3</v>
      </c>
      <c r="P19" s="4" t="s">
        <v>10</v>
      </c>
      <c r="Q19" s="4">
        <f>O19*P16*P17</f>
        <v>1.02491E-5</v>
      </c>
      <c r="R19" s="4" t="s">
        <v>11</v>
      </c>
      <c r="S19" s="10"/>
      <c r="T19" s="10"/>
      <c r="U19" s="10"/>
      <c r="V19" s="84">
        <v>2025</v>
      </c>
      <c r="W19" s="6">
        <v>6.2765202342227591E-3</v>
      </c>
      <c r="X19" s="6">
        <v>0.35758910332128024</v>
      </c>
      <c r="Y19" s="6">
        <v>0.30143607893209395</v>
      </c>
      <c r="Z19" s="6">
        <v>0.17179062152465618</v>
      </c>
      <c r="AA19" s="6">
        <v>0.16290767598774686</v>
      </c>
      <c r="AB19" s="6">
        <f t="shared" si="10"/>
        <v>1.1915031076299711E-2</v>
      </c>
      <c r="AC19" s="6">
        <f t="shared" si="11"/>
        <v>0.67882921103126437</v>
      </c>
      <c r="AD19" s="6">
        <f t="shared" si="12"/>
        <v>0.30925575789243581</v>
      </c>
      <c r="AE19" s="24">
        <f>(AB19*[4]pollution_by_fuel!$E$7)+(AC19*[4]pollution_by_fuel!$E$6)+(AD19*[4]pollution_by_fuel!$E$5)</f>
        <v>1.3265688231732522</v>
      </c>
    </row>
    <row r="20" spans="2:31" x14ac:dyDescent="0.3">
      <c r="B20" s="10"/>
      <c r="O20" s="4">
        <v>1</v>
      </c>
      <c r="P20" s="4" t="s">
        <v>12</v>
      </c>
      <c r="Q20" s="4">
        <f>O20*P15</f>
        <v>7.5895567698846299E-3</v>
      </c>
      <c r="R20" s="4" t="s">
        <v>13</v>
      </c>
      <c r="S20" s="10"/>
      <c r="T20" s="10"/>
      <c r="U20" s="10"/>
      <c r="V20" s="84">
        <v>2026</v>
      </c>
      <c r="W20" s="6">
        <v>6.1092702936127131E-3</v>
      </c>
      <c r="X20" s="6">
        <v>0.36377702069686785</v>
      </c>
      <c r="Y20" s="6">
        <v>0.31359297559684074</v>
      </c>
      <c r="Z20" s="6">
        <v>0.15089792368712035</v>
      </c>
      <c r="AA20" s="6">
        <v>0.16562280972555837</v>
      </c>
      <c r="AB20" s="6">
        <f t="shared" si="10"/>
        <v>1.1408340746112248E-2</v>
      </c>
      <c r="AC20" s="6">
        <f t="shared" si="11"/>
        <v>0.67931062275217169</v>
      </c>
      <c r="AD20" s="6">
        <f t="shared" si="12"/>
        <v>0.30928103650171601</v>
      </c>
      <c r="AE20" s="24">
        <f>(AB20*[4]pollution_by_fuel!$E$7)+(AC20*[4]pollution_by_fuel!$E$6)+(AD20*[4]pollution_by_fuel!$E$5)</f>
        <v>1.3259835231624877</v>
      </c>
    </row>
    <row r="21" spans="2:31" x14ac:dyDescent="0.3">
      <c r="B21" s="10"/>
      <c r="O21" s="4"/>
      <c r="P21" s="4"/>
      <c r="Q21" s="4"/>
      <c r="R21" s="4"/>
      <c r="S21" s="10"/>
      <c r="T21" s="10"/>
      <c r="U21" s="10"/>
      <c r="V21" s="84">
        <v>2027</v>
      </c>
      <c r="W21" s="6">
        <v>5.9470413098812701E-3</v>
      </c>
      <c r="X21" s="6">
        <v>0.36436160467812756</v>
      </c>
      <c r="Y21" s="6">
        <v>0.32390535436908069</v>
      </c>
      <c r="Z21" s="6">
        <v>0.14679451561551909</v>
      </c>
      <c r="AA21" s="6">
        <v>0.15899148402739141</v>
      </c>
      <c r="AB21" s="6">
        <f t="shared" si="10"/>
        <v>1.1235669467355389E-2</v>
      </c>
      <c r="AC21" s="6">
        <f t="shared" si="11"/>
        <v>0.68838374301462257</v>
      </c>
      <c r="AD21" s="6">
        <f t="shared" si="12"/>
        <v>0.3003805875180221</v>
      </c>
      <c r="AE21" s="24">
        <f>(AB21*[4]pollution_by_fuel!$E$7)+(AC21*[4]pollution_by_fuel!$E$6)+(AD21*[4]pollution_by_fuel!$E$5)</f>
        <v>1.3142022805236024</v>
      </c>
    </row>
    <row r="22" spans="2:31" x14ac:dyDescent="0.3">
      <c r="B22" s="10"/>
      <c r="O22" s="4" t="s">
        <v>14</v>
      </c>
      <c r="P22" s="79">
        <f>Q19/Q20</f>
        <v>1.3504214160000015E-3</v>
      </c>
      <c r="Q22" s="40">
        <f>P22*1000</f>
        <v>1.3504214160000014</v>
      </c>
      <c r="R22" s="4"/>
      <c r="S22" s="10"/>
      <c r="T22" s="10"/>
      <c r="U22" s="10"/>
      <c r="V22" s="84">
        <v>2028</v>
      </c>
      <c r="W22" s="6">
        <v>5.8264176229183727E-3</v>
      </c>
      <c r="X22" s="6">
        <v>0.35832653000720643</v>
      </c>
      <c r="Y22" s="6">
        <v>0.3306688978173638</v>
      </c>
      <c r="Z22" s="6">
        <v>0.14600831192976957</v>
      </c>
      <c r="AA22" s="6">
        <v>0.15916984262274181</v>
      </c>
      <c r="AB22" s="6">
        <f t="shared" si="10"/>
        <v>1.1133506377780876E-2</v>
      </c>
      <c r="AC22" s="6">
        <f t="shared" si="11"/>
        <v>0.68471417007095203</v>
      </c>
      <c r="AD22" s="6">
        <f t="shared" si="12"/>
        <v>0.3041523235512672</v>
      </c>
      <c r="AE22" s="24">
        <f>(AB22*[4]pollution_by_fuel!$E$7)+(AC22*[4]pollution_by_fuel!$E$6)+(AD22*[4]pollution_by_fuel!$E$5)</f>
        <v>1.3189808983975402</v>
      </c>
    </row>
    <row r="23" spans="2:31" x14ac:dyDescent="0.3">
      <c r="B23" s="10"/>
      <c r="S23" s="10"/>
      <c r="T23" s="10"/>
      <c r="U23" s="10"/>
      <c r="V23" s="84">
        <v>2029</v>
      </c>
      <c r="W23" s="6">
        <v>5.6613063451512666E-3</v>
      </c>
      <c r="X23" s="6">
        <v>0.35592209246601342</v>
      </c>
      <c r="Y23" s="6">
        <v>0.33838905689604587</v>
      </c>
      <c r="Z23" s="6">
        <v>0.14150946570641473</v>
      </c>
      <c r="AA23" s="6">
        <v>0.15851807858637473</v>
      </c>
      <c r="AB23" s="6">
        <f t="shared" si="10"/>
        <v>1.0885003391028726E-2</v>
      </c>
      <c r="AC23" s="6">
        <f t="shared" si="11"/>
        <v>0.68433201583460312</v>
      </c>
      <c r="AD23" s="6">
        <f t="shared" si="12"/>
        <v>0.30478298077436816</v>
      </c>
      <c r="AE23" s="24">
        <f>(AB23*[4]pollution_by_fuel!$E$7)+(AC23*[4]pollution_by_fuel!$E$6)+(AD23*[4]pollution_by_fuel!$E$5)</f>
        <v>1.3194975791437338</v>
      </c>
    </row>
    <row r="24" spans="2:31" x14ac:dyDescent="0.3">
      <c r="B24" s="10"/>
      <c r="Q24" s="10"/>
      <c r="R24" s="10"/>
      <c r="S24" s="10"/>
      <c r="T24" s="10"/>
      <c r="U24" s="10"/>
      <c r="V24" s="84">
        <v>2030</v>
      </c>
      <c r="W24" s="6">
        <v>5.5694822705348096E-3</v>
      </c>
      <c r="X24" s="6">
        <v>0.34905466256871381</v>
      </c>
      <c r="Y24" s="6">
        <v>0.34906161852771306</v>
      </c>
      <c r="Z24" s="6">
        <v>0.14084156642689638</v>
      </c>
      <c r="AA24" s="6">
        <v>0.15547267020614186</v>
      </c>
      <c r="AB24" s="6">
        <f t="shared" si="10"/>
        <v>1.09184807790639E-2</v>
      </c>
      <c r="AC24" s="6">
        <f t="shared" si="11"/>
        <v>0.6842910056939947</v>
      </c>
      <c r="AD24" s="6">
        <f t="shared" si="12"/>
        <v>0.30479051352694153</v>
      </c>
      <c r="AE24" s="24">
        <f>(AB24*[4]pollution_by_fuel!$E$7)+(AC24*[4]pollution_by_fuel!$E$6)+(AD24*[4]pollution_by_fuel!$E$5)</f>
        <v>1.319548214135482</v>
      </c>
    </row>
    <row r="25" spans="2:31" x14ac:dyDescent="0.3">
      <c r="B25" s="10"/>
      <c r="Q25" s="10"/>
      <c r="R25" s="10"/>
      <c r="S25" s="10"/>
      <c r="T25" s="10"/>
      <c r="U25" s="10"/>
      <c r="V25" s="84">
        <v>2031</v>
      </c>
      <c r="W25" s="6">
        <v>5.4171392466717799E-3</v>
      </c>
      <c r="X25" s="6">
        <v>0.34894620399076259</v>
      </c>
      <c r="Y25" s="6">
        <v>0.35417845777022694</v>
      </c>
      <c r="Z25" s="6">
        <v>0.13994833320662858</v>
      </c>
      <c r="AA25" s="6">
        <v>0.1515098657857101</v>
      </c>
      <c r="AB25" s="6">
        <f t="shared" si="10"/>
        <v>1.070849206885739E-2</v>
      </c>
      <c r="AC25" s="6">
        <f t="shared" si="11"/>
        <v>0.68978984806210164</v>
      </c>
      <c r="AD25" s="6">
        <f t="shared" si="12"/>
        <v>0.29950165986904098</v>
      </c>
      <c r="AE25" s="24">
        <f>(AB25*[4]pollution_by_fuel!$E$7)+(AC25*[4]pollution_by_fuel!$E$6)+(AD25*[4]pollution_by_fuel!$E$5)</f>
        <v>1.3124165181537593</v>
      </c>
    </row>
    <row r="26" spans="2:31" x14ac:dyDescent="0.3">
      <c r="B26" s="10"/>
      <c r="O26" s="15" t="s">
        <v>198</v>
      </c>
      <c r="P26" s="87" t="s">
        <v>163</v>
      </c>
      <c r="Q26" s="10" t="s">
        <v>22</v>
      </c>
      <c r="R26" s="10"/>
      <c r="S26" s="10"/>
      <c r="T26" s="10"/>
      <c r="U26" s="10"/>
      <c r="V26" s="84">
        <v>2032</v>
      </c>
      <c r="W26" s="6">
        <v>5.3581313236026008E-3</v>
      </c>
      <c r="X26" s="6">
        <v>0.34793895869389868</v>
      </c>
      <c r="Y26" s="6">
        <v>0.35964993196383704</v>
      </c>
      <c r="Z26" s="6">
        <v>0.13923116714210029</v>
      </c>
      <c r="AA26" s="6">
        <v>0.14782181087656149</v>
      </c>
      <c r="AB26" s="6">
        <f t="shared" si="10"/>
        <v>1.0692335320106629E-2</v>
      </c>
      <c r="AC26" s="6">
        <f t="shared" si="11"/>
        <v>0.69432415754650112</v>
      </c>
      <c r="AD26" s="6">
        <f t="shared" si="12"/>
        <v>0.29498350713339233</v>
      </c>
      <c r="AE26" s="24">
        <f>(AB26*[4]pollution_by_fuel!$E$7)+(AC26*[4]pollution_by_fuel!$E$6)+(AD26*[4]pollution_by_fuel!$E$5)</f>
        <v>1.3065232083639402</v>
      </c>
    </row>
    <row r="27" spans="2:31" x14ac:dyDescent="0.3">
      <c r="B27" s="10"/>
      <c r="O27" s="4" t="s">
        <v>160</v>
      </c>
      <c r="P27" s="4"/>
      <c r="Q27" s="10"/>
      <c r="R27" s="10"/>
      <c r="S27" s="10"/>
      <c r="T27" s="10"/>
      <c r="U27" s="10"/>
      <c r="V27" s="84">
        <v>2033</v>
      </c>
      <c r="W27" s="6">
        <v>5.2938206542921841E-3</v>
      </c>
      <c r="X27" s="6">
        <v>0.3464240558741109</v>
      </c>
      <c r="Y27" s="6">
        <v>0.3652936820815661</v>
      </c>
      <c r="Z27" s="6">
        <v>0.13651731389358296</v>
      </c>
      <c r="AA27" s="6">
        <v>0.14647112749644778</v>
      </c>
      <c r="AB27" s="6">
        <f t="shared" si="10"/>
        <v>1.0626129062511615E-2</v>
      </c>
      <c r="AC27" s="6">
        <f t="shared" si="11"/>
        <v>0.69536672442660019</v>
      </c>
      <c r="AD27" s="6">
        <f t="shared" si="12"/>
        <v>0.29400714651088816</v>
      </c>
      <c r="AE27" s="24">
        <f>(AB27*[4]pollution_by_fuel!$E$7)+(AC27*[4]pollution_by_fuel!$E$6)+(AD27*[4]pollution_by_fuel!$E$5)</f>
        <v>1.3051731679204188</v>
      </c>
    </row>
    <row r="28" spans="2:31" x14ac:dyDescent="0.3">
      <c r="B28" s="10"/>
      <c r="O28" s="4" t="s">
        <v>158</v>
      </c>
      <c r="P28" s="90">
        <f>6/0.68</f>
        <v>8.8235294117647047</v>
      </c>
      <c r="V28" s="84">
        <v>2034</v>
      </c>
      <c r="W28" s="6">
        <v>5.2431229913636052E-3</v>
      </c>
      <c r="X28" s="6">
        <v>0.34551185055461209</v>
      </c>
      <c r="Y28" s="6">
        <v>0.37239748891245689</v>
      </c>
      <c r="Z28" s="6">
        <v>0.13183512738850953</v>
      </c>
      <c r="AA28" s="6">
        <v>0.14501241015305796</v>
      </c>
      <c r="AB28" s="6">
        <f t="shared" si="10"/>
        <v>1.0575772355662988E-2</v>
      </c>
      <c r="AC28" s="6">
        <f t="shared" si="11"/>
        <v>0.69692331911121153</v>
      </c>
      <c r="AD28" s="6">
        <f t="shared" si="12"/>
        <v>0.29250090853312544</v>
      </c>
      <c r="AE28" s="24">
        <f>(AB28*[4]pollution_by_fuel!$E$7)+(AC28*[4]pollution_by_fuel!$E$6)+(AD28*[4]pollution_by_fuel!$E$5)</f>
        <v>1.3031536233669718</v>
      </c>
    </row>
    <row r="29" spans="2:31" x14ac:dyDescent="0.3">
      <c r="B29" s="10"/>
      <c r="O29" s="4" t="s">
        <v>159</v>
      </c>
      <c r="P29" s="90">
        <f>+P28+6</f>
        <v>14.823529411764705</v>
      </c>
      <c r="V29" s="84">
        <v>2035</v>
      </c>
      <c r="W29" s="6">
        <v>5.1308607715096427E-3</v>
      </c>
      <c r="X29" s="6">
        <v>0.34069568591309779</v>
      </c>
      <c r="Y29" s="6">
        <v>0.38254435379253876</v>
      </c>
      <c r="Z29" s="6">
        <v>0.13101727276122474</v>
      </c>
      <c r="AA29" s="6">
        <v>0.14061182676162898</v>
      </c>
      <c r="AB29" s="6">
        <f t="shared" si="10"/>
        <v>1.0547812532057015E-2</v>
      </c>
      <c r="AC29" s="6">
        <f t="shared" si="11"/>
        <v>0.70038817764189643</v>
      </c>
      <c r="AD29" s="6">
        <f t="shared" si="12"/>
        <v>0.28906400982604652</v>
      </c>
      <c r="AE29" s="24">
        <f>(AB29*[4]pollution_by_fuel!$E$7)+(AC29*[4]pollution_by_fuel!$E$6)+(AD29*[4]pollution_by_fuel!$E$5)</f>
        <v>1.29865154406297</v>
      </c>
    </row>
    <row r="30" spans="2:31" x14ac:dyDescent="0.3">
      <c r="B30" s="10"/>
      <c r="V30" s="84">
        <v>2036</v>
      </c>
      <c r="W30" s="6">
        <v>5.0551242960339858E-3</v>
      </c>
      <c r="X30" s="6">
        <v>0.33975555078754144</v>
      </c>
      <c r="Y30" s="6">
        <v>0.38762103199942788</v>
      </c>
      <c r="Z30" s="6">
        <v>0.1284591435301963</v>
      </c>
      <c r="AA30" s="6">
        <v>0.13910914938680038</v>
      </c>
      <c r="AB30" s="6">
        <f t="shared" si="10"/>
        <v>1.0446202119465857E-2</v>
      </c>
      <c r="AC30" s="6">
        <f t="shared" si="11"/>
        <v>0.70209058113993494</v>
      </c>
      <c r="AD30" s="6">
        <f t="shared" si="12"/>
        <v>0.28746321674059927</v>
      </c>
      <c r="AE30" s="24">
        <f>(AB30*[4]pollution_by_fuel!$E$7)+(AC30*[4]pollution_by_fuel!$E$6)+(AD30*[4]pollution_by_fuel!$E$5)</f>
        <v>1.2964465483485275</v>
      </c>
    </row>
    <row r="31" spans="2:31" x14ac:dyDescent="0.3">
      <c r="B31" s="10"/>
      <c r="V31" s="84">
        <v>2037</v>
      </c>
      <c r="W31" s="6">
        <v>4.9850388285590987E-3</v>
      </c>
      <c r="X31" s="6">
        <v>0.34131778286535491</v>
      </c>
      <c r="Y31" s="6">
        <v>0.39048243474963018</v>
      </c>
      <c r="Z31" s="6">
        <v>0.12731734879421963</v>
      </c>
      <c r="AA31" s="6">
        <v>0.13589739476223608</v>
      </c>
      <c r="AB31" s="6">
        <f t="shared" si="10"/>
        <v>1.0338109893844115E-2</v>
      </c>
      <c r="AC31" s="6">
        <f t="shared" si="11"/>
        <v>0.70783415522666682</v>
      </c>
      <c r="AD31" s="6">
        <f t="shared" si="12"/>
        <v>0.28182773487948898</v>
      </c>
      <c r="AE31" s="24">
        <f>(AB31*[4]pollution_by_fuel!$E$7)+(AC31*[4]pollution_by_fuel!$E$6)+(AD31*[4]pollution_by_fuel!$E$5)</f>
        <v>1.2889885494138253</v>
      </c>
    </row>
    <row r="32" spans="2:31" x14ac:dyDescent="0.3">
      <c r="B32" s="10"/>
      <c r="V32" s="84">
        <v>2038</v>
      </c>
      <c r="W32" s="6">
        <v>4.8711718141295829E-3</v>
      </c>
      <c r="X32" s="6">
        <v>0.34473762459206353</v>
      </c>
      <c r="Y32" s="6">
        <v>0.39319763025843346</v>
      </c>
      <c r="Z32" s="6">
        <v>0.12612859423653022</v>
      </c>
      <c r="AA32" s="6">
        <v>0.13106497909884324</v>
      </c>
      <c r="AB32" s="6">
        <f t="shared" si="10"/>
        <v>1.0134049457995746E-2</v>
      </c>
      <c r="AC32" s="6">
        <f t="shared" si="11"/>
        <v>0.71719665635982144</v>
      </c>
      <c r="AD32" s="6">
        <f t="shared" si="12"/>
        <v>0.27266929418218278</v>
      </c>
      <c r="AE32" s="24">
        <f>(AB32*[4]pollution_by_fuel!$E$7)+(AC32*[4]pollution_by_fuel!$E$6)+(AD32*[4]pollution_by_fuel!$E$5)</f>
        <v>1.2768336227755923</v>
      </c>
    </row>
    <row r="33" spans="2:31" x14ac:dyDescent="0.3">
      <c r="B33" s="10"/>
      <c r="V33" s="84">
        <v>2039</v>
      </c>
      <c r="W33" s="6">
        <v>4.7966323525658267E-3</v>
      </c>
      <c r="X33" s="6">
        <v>0.34724312143633451</v>
      </c>
      <c r="Y33" s="6">
        <v>0.39428914560388267</v>
      </c>
      <c r="Z33" s="6">
        <v>0.12491775432523829</v>
      </c>
      <c r="AA33" s="6">
        <v>0.12875334628197874</v>
      </c>
      <c r="AB33" s="6">
        <f t="shared" si="10"/>
        <v>9.976499978595163E-3</v>
      </c>
      <c r="AC33" s="6">
        <f t="shared" si="11"/>
        <v>0.72222983521423978</v>
      </c>
      <c r="AD33" s="6">
        <f t="shared" si="12"/>
        <v>0.26779366480716499</v>
      </c>
      <c r="AE33" s="24">
        <f>(AB33*[4]pollution_by_fuel!$E$7)+(AC33*[4]pollution_by_fuel!$E$6)+(AD33*[4]pollution_by_fuel!$E$5)</f>
        <v>1.2703030942232005</v>
      </c>
    </row>
    <row r="34" spans="2:31" ht="100.8" x14ac:dyDescent="0.3">
      <c r="B34" s="10"/>
      <c r="O34" s="92" t="s">
        <v>172</v>
      </c>
      <c r="P34" s="32" t="s">
        <v>169</v>
      </c>
      <c r="Q34" s="32" t="s">
        <v>168</v>
      </c>
      <c r="R34" s="32" t="s">
        <v>167</v>
      </c>
      <c r="S34" s="32" t="s">
        <v>166</v>
      </c>
      <c r="V34" s="84">
        <v>2040</v>
      </c>
      <c r="W34" s="6">
        <v>4.7204682169205555E-3</v>
      </c>
      <c r="X34" s="6">
        <v>0.35032975661670934</v>
      </c>
      <c r="Y34" s="6">
        <v>0.39557458740109819</v>
      </c>
      <c r="Z34" s="6">
        <v>0.12211013814409137</v>
      </c>
      <c r="AA34" s="6">
        <v>0.12726504962118046</v>
      </c>
      <c r="AB34" s="6">
        <f t="shared" si="10"/>
        <v>9.7871008175231047E-3</v>
      </c>
      <c r="AC34" s="6">
        <f t="shared" si="11"/>
        <v>0.72635011821408291</v>
      </c>
      <c r="AD34" s="6">
        <f t="shared" si="12"/>
        <v>0.263862780968394</v>
      </c>
      <c r="AE34" s="24">
        <f>(AB34*[4]pollution_by_fuel!$E$7)+(AC34*[4]pollution_by_fuel!$E$6)+(AD34*[4]pollution_by_fuel!$E$5)</f>
        <v>1.2649618782562904</v>
      </c>
    </row>
    <row r="35" spans="2:31" x14ac:dyDescent="0.3">
      <c r="B35" s="10"/>
      <c r="O35" s="4">
        <v>2005</v>
      </c>
      <c r="P35" s="4">
        <v>2416</v>
      </c>
      <c r="Q35" s="7">
        <v>0.28000000000000003</v>
      </c>
      <c r="R35" s="4"/>
      <c r="S35" s="4"/>
      <c r="V35" s="84">
        <v>2041</v>
      </c>
      <c r="W35" s="6">
        <v>4.6086656010108102E-3</v>
      </c>
      <c r="X35" s="6">
        <v>0.35028827782176858</v>
      </c>
      <c r="Y35" s="6">
        <v>0.39864537950788448</v>
      </c>
      <c r="Z35" s="6">
        <v>0.12117013605742692</v>
      </c>
      <c r="AA35" s="6">
        <v>0.12528754101190931</v>
      </c>
      <c r="AB35" s="6">
        <f t="shared" si="10"/>
        <v>9.5976978648872786E-3</v>
      </c>
      <c r="AC35" s="6">
        <f t="shared" si="11"/>
        <v>0.72948687260096656</v>
      </c>
      <c r="AD35" s="6">
        <f t="shared" si="12"/>
        <v>0.26091542953414615</v>
      </c>
      <c r="AE35" s="24">
        <f>(AB35*[4]pollution_by_fuel!$E$7)+(AC35*[4]pollution_by_fuel!$E$6)+(AD35*[4]pollution_by_fuel!$E$5)</f>
        <v>1.2608992497895524</v>
      </c>
    </row>
    <row r="36" spans="2:31" x14ac:dyDescent="0.3">
      <c r="B36" s="10"/>
      <c r="O36" s="4">
        <v>2017</v>
      </c>
      <c r="P36" s="4">
        <v>1744</v>
      </c>
      <c r="Q36" s="7">
        <v>0.38</v>
      </c>
      <c r="R36" s="4">
        <f>P35-P36</f>
        <v>672</v>
      </c>
      <c r="S36" s="7">
        <f>Q36-Q35</f>
        <v>9.9999999999999978E-2</v>
      </c>
      <c r="V36" s="84">
        <v>2042</v>
      </c>
      <c r="W36" s="6">
        <v>4.4892297982330655E-3</v>
      </c>
      <c r="X36" s="6">
        <v>0.35193881136188365</v>
      </c>
      <c r="Y36" s="6">
        <v>0.39948150160063395</v>
      </c>
      <c r="Z36" s="6">
        <v>0.12006003702682323</v>
      </c>
      <c r="AA36" s="6">
        <v>0.12403042021242613</v>
      </c>
      <c r="AB36" s="6">
        <f t="shared" si="10"/>
        <v>9.3436377109657343E-3</v>
      </c>
      <c r="AC36" s="6">
        <f t="shared" si="11"/>
        <v>0.73250621990606113</v>
      </c>
      <c r="AD36" s="6">
        <f t="shared" si="12"/>
        <v>0.25815014238297312</v>
      </c>
      <c r="AE36" s="24">
        <f>(AB36*[4]pollution_by_fuel!$E$7)+(AC36*[4]pollution_by_fuel!$E$6)+(AD36*[4]pollution_by_fuel!$E$5)</f>
        <v>1.2569944231052432</v>
      </c>
    </row>
    <row r="37" spans="2:31" x14ac:dyDescent="0.3">
      <c r="B37" s="10"/>
      <c r="O37" s="4">
        <v>2030</v>
      </c>
      <c r="P37" s="4">
        <f>P35/2</f>
        <v>1208</v>
      </c>
      <c r="Q37" s="4"/>
      <c r="R37" s="4">
        <f>P36-P37</f>
        <v>536</v>
      </c>
      <c r="S37" s="6">
        <f>R37/R36*S36</f>
        <v>7.9761904761904756E-2</v>
      </c>
      <c r="V37" s="84">
        <v>2043</v>
      </c>
      <c r="W37" s="6">
        <v>4.3477776920011211E-3</v>
      </c>
      <c r="X37" s="6">
        <v>0.35500461827862817</v>
      </c>
      <c r="Y37" s="6">
        <v>0.40050912193390092</v>
      </c>
      <c r="Z37" s="6">
        <v>0.11885318612019356</v>
      </c>
      <c r="AA37" s="6">
        <v>0.12128529597527614</v>
      </c>
      <c r="AB37" s="6">
        <f t="shared" si="10"/>
        <v>9.0458525514275565E-3</v>
      </c>
      <c r="AC37" s="6">
        <f t="shared" si="11"/>
        <v>0.73861169073394906</v>
      </c>
      <c r="AD37" s="6">
        <f t="shared" si="12"/>
        <v>0.25234245671462341</v>
      </c>
      <c r="AE37" s="24">
        <f>(AB37*[4]pollution_by_fuel!$E$7)+(AC37*[4]pollution_by_fuel!$E$6)+(AD37*[4]pollution_by_fuel!$E$5)</f>
        <v>1.249081133841752</v>
      </c>
    </row>
    <row r="38" spans="2:31" x14ac:dyDescent="0.3">
      <c r="B38" s="10"/>
      <c r="O38" s="91" t="s">
        <v>170</v>
      </c>
      <c r="V38" s="84">
        <v>2044</v>
      </c>
      <c r="W38" s="6">
        <v>4.2087919380767325E-3</v>
      </c>
      <c r="X38" s="6">
        <v>0.35653174832123458</v>
      </c>
      <c r="Y38" s="6">
        <v>0.40254281010907983</v>
      </c>
      <c r="Z38" s="6">
        <v>0.11769638608119548</v>
      </c>
      <c r="AA38" s="6">
        <v>0.11902026355041334</v>
      </c>
      <c r="AB38" s="6">
        <f t="shared" si="10"/>
        <v>8.7726881909801855E-3</v>
      </c>
      <c r="AC38" s="6">
        <f t="shared" si="11"/>
        <v>0.74314480359807955</v>
      </c>
      <c r="AD38" s="6">
        <f t="shared" si="12"/>
        <v>0.24808250821094033</v>
      </c>
      <c r="AE38" s="24">
        <f>(AB38*[4]pollution_by_fuel!$E$7)+(AC38*[4]pollution_by_fuel!$E$6)+(AD38*[4]pollution_by_fuel!$E$5)</f>
        <v>1.2432099402672185</v>
      </c>
    </row>
    <row r="39" spans="2:31" x14ac:dyDescent="0.3">
      <c r="B39" s="10"/>
      <c r="V39" s="84">
        <v>2045</v>
      </c>
      <c r="W39" s="6">
        <v>4.0588588642922838E-3</v>
      </c>
      <c r="X39" s="6">
        <v>0.35782251297347339</v>
      </c>
      <c r="Y39" s="6">
        <v>0.40621619056557084</v>
      </c>
      <c r="Z39" s="6">
        <v>0.11657703258351766</v>
      </c>
      <c r="AA39" s="6">
        <v>0.11532540501314588</v>
      </c>
      <c r="AB39" s="6">
        <f t="shared" si="10"/>
        <v>8.50545101449879E-3</v>
      </c>
      <c r="AC39" s="6">
        <f t="shared" si="11"/>
        <v>0.74982697298379719</v>
      </c>
      <c r="AD39" s="6">
        <f t="shared" si="12"/>
        <v>0.24166757600170402</v>
      </c>
      <c r="AE39" s="24">
        <f>(AB39*[4]pollution_by_fuel!$E$7)+(AC39*[4]pollution_by_fuel!$E$6)+(AD39*[4]pollution_by_fuel!$E$5)</f>
        <v>1.2345444990399037</v>
      </c>
    </row>
    <row r="40" spans="2:31" x14ac:dyDescent="0.3">
      <c r="B40" s="10"/>
      <c r="V40" s="84">
        <v>2046</v>
      </c>
      <c r="W40" s="6">
        <v>3.9323577115041655E-3</v>
      </c>
      <c r="X40" s="6">
        <v>0.35631693321713209</v>
      </c>
      <c r="Y40" s="6">
        <v>0.41080815309847829</v>
      </c>
      <c r="Z40" s="6">
        <v>0.11535424134278997</v>
      </c>
      <c r="AA40" s="6">
        <v>0.11358831463009546</v>
      </c>
      <c r="AB40" s="6">
        <f t="shared" si="10"/>
        <v>8.2989565736710045E-3</v>
      </c>
      <c r="AC40" s="6">
        <f t="shared" si="11"/>
        <v>0.75198111976987636</v>
      </c>
      <c r="AD40" s="6">
        <f t="shared" si="12"/>
        <v>0.23971992365645259</v>
      </c>
      <c r="AE40" s="24">
        <f>(AB40*[4]pollution_by_fuel!$E$7)+(AC40*[4]pollution_by_fuel!$E$6)+(AD40*[4]pollution_by_fuel!$E$5)</f>
        <v>1.2317606277732671</v>
      </c>
    </row>
    <row r="41" spans="2:31" x14ac:dyDescent="0.3">
      <c r="B41" s="10"/>
      <c r="V41" s="84">
        <v>2047</v>
      </c>
      <c r="W41" s="6">
        <v>3.8747084000179169E-3</v>
      </c>
      <c r="X41" s="6">
        <v>0.35555393066292734</v>
      </c>
      <c r="Y41" s="6">
        <v>0.41576988005682275</v>
      </c>
      <c r="Z41" s="6">
        <v>0.11265930547868648</v>
      </c>
      <c r="AA41" s="6">
        <v>0.1121421754015455</v>
      </c>
      <c r="AB41" s="6">
        <f t="shared" si="10"/>
        <v>8.2165992490819892E-3</v>
      </c>
      <c r="AC41" s="6">
        <f t="shared" si="11"/>
        <v>0.75397781151212551</v>
      </c>
      <c r="AD41" s="6">
        <f t="shared" si="12"/>
        <v>0.23780558923879244</v>
      </c>
      <c r="AE41" s="24">
        <f>(AB41*[4]pollution_by_fuel!$E$7)+(AC41*[4]pollution_by_fuel!$E$6)+(AD41*[4]pollution_by_fuel!$E$5)</f>
        <v>1.2291715170943101</v>
      </c>
    </row>
    <row r="42" spans="2:31" x14ac:dyDescent="0.3">
      <c r="B42" s="10"/>
      <c r="O42" s="94"/>
      <c r="V42" s="84">
        <v>2048</v>
      </c>
      <c r="W42" s="6">
        <v>3.8237531649963396E-3</v>
      </c>
      <c r="X42" s="6">
        <v>0.3560637346391658</v>
      </c>
      <c r="Y42" s="6">
        <v>0.41735647834037531</v>
      </c>
      <c r="Z42" s="6">
        <v>0.11139620175083755</v>
      </c>
      <c r="AA42" s="6">
        <v>0.11135983210462512</v>
      </c>
      <c r="AB42" s="6">
        <f t="shared" si="10"/>
        <v>8.1141112181528155E-3</v>
      </c>
      <c r="AC42" s="6">
        <f t="shared" si="11"/>
        <v>0.75557720881698398</v>
      </c>
      <c r="AD42" s="6">
        <f t="shared" si="12"/>
        <v>0.23630867996486321</v>
      </c>
      <c r="AE42" s="24">
        <f>(AB42*[4]pollution_by_fuel!$E$7)+(AC42*[4]pollution_by_fuel!$E$6)+(AD42*[4]pollution_by_fuel!$E$5)</f>
        <v>1.2271004996404686</v>
      </c>
    </row>
    <row r="43" spans="2:31" x14ac:dyDescent="0.3">
      <c r="B43" s="10"/>
      <c r="O43" s="94"/>
      <c r="V43" s="84">
        <v>2049</v>
      </c>
      <c r="W43" s="6">
        <v>3.7483356509372362E-3</v>
      </c>
      <c r="X43" s="6">
        <v>0.35667804259664943</v>
      </c>
      <c r="Y43" s="6">
        <v>0.41910547620104155</v>
      </c>
      <c r="Z43" s="6">
        <v>0.11007155901300811</v>
      </c>
      <c r="AA43" s="6">
        <v>0.11039658653836351</v>
      </c>
      <c r="AB43" s="6">
        <f t="shared" si="10"/>
        <v>7.9612421892830531E-3</v>
      </c>
      <c r="AC43" s="6">
        <f t="shared" si="11"/>
        <v>0.75756296798055645</v>
      </c>
      <c r="AD43" s="6">
        <f t="shared" si="12"/>
        <v>0.23447578983016049</v>
      </c>
      <c r="AE43" s="24">
        <f>(AB43*[4]pollution_by_fuel!$E$7)+(AC43*[4]pollution_by_fuel!$E$6)+(AD43*[4]pollution_by_fuel!$E$5)</f>
        <v>1.224531242250134</v>
      </c>
    </row>
    <row r="44" spans="2:31" ht="15" thickBot="1" x14ac:dyDescent="0.35">
      <c r="B44" s="10"/>
      <c r="O44" s="94"/>
      <c r="V44" s="117">
        <v>2050</v>
      </c>
      <c r="W44" s="118">
        <v>3.6401644049719644E-3</v>
      </c>
      <c r="X44" s="118">
        <v>0.35786758151380654</v>
      </c>
      <c r="Y44" s="118">
        <v>0.42102713619562759</v>
      </c>
      <c r="Z44" s="118">
        <v>0.10876152400307899</v>
      </c>
      <c r="AA44" s="118">
        <v>0.10870359388251484</v>
      </c>
      <c r="AB44" s="118">
        <f t="shared" si="10"/>
        <v>7.7415495902550162E-3</v>
      </c>
      <c r="AC44" s="118">
        <f t="shared" si="11"/>
        <v>0.76107816043959697</v>
      </c>
      <c r="AD44" s="118">
        <f t="shared" si="12"/>
        <v>0.23118028997014811</v>
      </c>
      <c r="AE44" s="119">
        <f>(AB44*[4]pollution_by_fuel!$E$7)+(AC44*[4]pollution_by_fuel!$E$6)+(AD44*[4]pollution_by_fuel!$E$5)</f>
        <v>1.2199790674613038</v>
      </c>
    </row>
    <row r="45" spans="2:31" x14ac:dyDescent="0.3">
      <c r="B45" s="10"/>
      <c r="O45" s="94"/>
      <c r="V45" t="s">
        <v>19</v>
      </c>
      <c r="W45" s="91" t="s">
        <v>175</v>
      </c>
      <c r="X45" t="s">
        <v>22</v>
      </c>
      <c r="AB45" s="1"/>
      <c r="AC45" s="1"/>
      <c r="AD45" s="1"/>
    </row>
    <row r="46" spans="2:31" x14ac:dyDescent="0.3">
      <c r="B46" s="10"/>
      <c r="O46" s="94"/>
      <c r="V46" s="120" t="s">
        <v>193</v>
      </c>
      <c r="AB46" s="1"/>
      <c r="AC46" s="1"/>
      <c r="AD46" s="1"/>
    </row>
    <row r="47" spans="2:31" x14ac:dyDescent="0.3">
      <c r="O47" s="94"/>
    </row>
    <row r="48" spans="2:31" x14ac:dyDescent="0.3">
      <c r="O48" s="94"/>
    </row>
    <row r="49" spans="15:15" x14ac:dyDescent="0.3">
      <c r="O49" s="94"/>
    </row>
    <row r="50" spans="15:15" x14ac:dyDescent="0.3">
      <c r="O50" s="94"/>
    </row>
    <row r="51" spans="15:15" x14ac:dyDescent="0.3">
      <c r="O51" s="93"/>
    </row>
    <row r="52" spans="15:15" x14ac:dyDescent="0.3">
      <c r="O52" s="93"/>
    </row>
  </sheetData>
  <mergeCells count="2">
    <mergeCell ref="N1:Q1"/>
    <mergeCell ref="A1:K1"/>
  </mergeCells>
  <hyperlinks>
    <hyperlink ref="O38" r:id="rId1" display="https://www.eia.gov/todayinenergy/detail.php?id=37392 " xr:uid="{6FC350E3-73ED-435B-B96D-98AC7E5757B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2E9D-2EC0-44CD-B438-A5CFA54DEF2F}">
  <dimension ref="A1:K40"/>
  <sheetViews>
    <sheetView tabSelected="1" topLeftCell="A7" zoomScale="85" zoomScaleNormal="85" workbookViewId="0">
      <selection activeCell="F24" sqref="F24"/>
    </sheetView>
  </sheetViews>
  <sheetFormatPr defaultRowHeight="14.4" x14ac:dyDescent="0.3"/>
  <cols>
    <col min="1" max="1" width="38.44140625" customWidth="1"/>
    <col min="2" max="2" width="19.21875" bestFit="1" customWidth="1"/>
    <col min="3" max="3" width="28.109375" customWidth="1"/>
    <col min="4" max="4" width="24.5546875" customWidth="1"/>
    <col min="5" max="5" width="13.88671875" customWidth="1"/>
    <col min="6" max="6" width="22.44140625" bestFit="1" customWidth="1"/>
    <col min="7" max="7" width="10.33203125" bestFit="1" customWidth="1"/>
    <col min="10" max="10" width="11.109375" bestFit="1" customWidth="1"/>
  </cols>
  <sheetData>
    <row r="1" spans="1:6" ht="24" thickBot="1" x14ac:dyDescent="0.5">
      <c r="A1" s="12" t="s">
        <v>15</v>
      </c>
    </row>
    <row r="2" spans="1:6" ht="16.2" thickBot="1" x14ac:dyDescent="0.35">
      <c r="A2" s="106" t="s">
        <v>16</v>
      </c>
      <c r="B2" s="107" t="s">
        <v>17</v>
      </c>
      <c r="C2" s="107" t="s">
        <v>18</v>
      </c>
      <c r="D2" s="108" t="s">
        <v>19</v>
      </c>
    </row>
    <row r="3" spans="1:6" ht="28.8" x14ac:dyDescent="0.3">
      <c r="A3" s="109" t="s">
        <v>20</v>
      </c>
      <c r="B3" s="110">
        <v>253814184</v>
      </c>
      <c r="C3" s="111" t="s">
        <v>180</v>
      </c>
      <c r="D3" s="112" t="s">
        <v>179</v>
      </c>
      <c r="E3" t="s">
        <v>22</v>
      </c>
    </row>
    <row r="4" spans="1:6" x14ac:dyDescent="0.3">
      <c r="A4" s="83" t="s">
        <v>23</v>
      </c>
      <c r="B4" s="20">
        <v>8.0000000000000002E-3</v>
      </c>
      <c r="C4" s="19" t="s">
        <v>24</v>
      </c>
      <c r="D4" s="25" t="s">
        <v>21</v>
      </c>
      <c r="E4" t="s">
        <v>22</v>
      </c>
    </row>
    <row r="5" spans="1:6" x14ac:dyDescent="0.3">
      <c r="A5" s="83" t="s">
        <v>25</v>
      </c>
      <c r="B5" s="8">
        <v>700000</v>
      </c>
      <c r="C5" s="4" t="s">
        <v>26</v>
      </c>
      <c r="D5" s="31" t="s">
        <v>27</v>
      </c>
      <c r="E5" t="s">
        <v>22</v>
      </c>
      <c r="F5" s="37"/>
    </row>
    <row r="6" spans="1:6" x14ac:dyDescent="0.3">
      <c r="A6" s="83" t="s">
        <v>28</v>
      </c>
      <c r="B6" s="8">
        <f>B3-B5</f>
        <v>253114184</v>
      </c>
      <c r="C6" s="4"/>
      <c r="D6" s="31"/>
      <c r="E6" t="s">
        <v>22</v>
      </c>
    </row>
    <row r="7" spans="1:6" ht="15.6" x14ac:dyDescent="0.35">
      <c r="A7" s="83" t="s">
        <v>29</v>
      </c>
      <c r="B7" s="22">
        <f>1187.8*1000000</f>
        <v>1187800000</v>
      </c>
      <c r="C7" s="23" t="s">
        <v>146</v>
      </c>
      <c r="D7" s="25" t="s">
        <v>30</v>
      </c>
      <c r="E7" t="s">
        <v>22</v>
      </c>
    </row>
    <row r="8" spans="1:6" x14ac:dyDescent="0.3">
      <c r="A8" s="26" t="s">
        <v>31</v>
      </c>
      <c r="B8" s="8">
        <f>B7/2</f>
        <v>593900000</v>
      </c>
      <c r="C8" s="19" t="s">
        <v>32</v>
      </c>
      <c r="D8" s="27" t="s">
        <v>22</v>
      </c>
      <c r="E8" s="66" t="s">
        <v>22</v>
      </c>
    </row>
    <row r="9" spans="1:6" x14ac:dyDescent="0.3">
      <c r="A9" s="28" t="s">
        <v>33</v>
      </c>
      <c r="B9" s="19">
        <f>8.887*10^(-3)</f>
        <v>8.8870000000000008E-3</v>
      </c>
      <c r="C9" s="19" t="s">
        <v>34</v>
      </c>
      <c r="D9" s="25" t="s">
        <v>35</v>
      </c>
      <c r="E9" s="66" t="s">
        <v>22</v>
      </c>
      <c r="F9" s="66"/>
    </row>
    <row r="10" spans="1:6" x14ac:dyDescent="0.3">
      <c r="A10" s="26" t="s">
        <v>36</v>
      </c>
      <c r="B10" s="130">
        <v>131449233351.80701</v>
      </c>
      <c r="C10" s="19" t="s">
        <v>37</v>
      </c>
      <c r="D10" s="131" t="s">
        <v>195</v>
      </c>
      <c r="E10" s="66" t="s">
        <v>22</v>
      </c>
    </row>
    <row r="11" spans="1:6" x14ac:dyDescent="0.3">
      <c r="A11" s="26" t="s">
        <v>194</v>
      </c>
      <c r="B11" s="8">
        <v>136287548217.13499</v>
      </c>
      <c r="C11" s="19"/>
      <c r="D11" s="131" t="s">
        <v>195</v>
      </c>
      <c r="E11" t="s">
        <v>22</v>
      </c>
    </row>
    <row r="12" spans="1:6" x14ac:dyDescent="0.3">
      <c r="A12" s="28" t="s">
        <v>38</v>
      </c>
      <c r="B12" s="21">
        <v>0.28999999999999998</v>
      </c>
      <c r="C12" s="19" t="s">
        <v>39</v>
      </c>
      <c r="D12" s="25" t="s">
        <v>40</v>
      </c>
      <c r="E12" t="s">
        <v>22</v>
      </c>
    </row>
    <row r="13" spans="1:6" x14ac:dyDescent="0.3">
      <c r="A13" s="28" t="s">
        <v>41</v>
      </c>
      <c r="B13" s="6">
        <v>-0.01</v>
      </c>
      <c r="C13" s="19" t="s">
        <v>42</v>
      </c>
      <c r="D13" s="25"/>
    </row>
    <row r="14" spans="1:6" x14ac:dyDescent="0.3">
      <c r="A14" s="29" t="s">
        <v>43</v>
      </c>
      <c r="B14" s="6">
        <v>0.23</v>
      </c>
      <c r="C14" s="19"/>
      <c r="D14" s="25"/>
      <c r="E14" t="s">
        <v>22</v>
      </c>
    </row>
    <row r="15" spans="1:6" x14ac:dyDescent="0.3">
      <c r="A15" s="38" t="s">
        <v>174</v>
      </c>
      <c r="B15" s="97">
        <v>0.49</v>
      </c>
      <c r="C15" s="19" t="s">
        <v>171</v>
      </c>
      <c r="D15" s="113" t="s">
        <v>175</v>
      </c>
      <c r="E15" t="s">
        <v>22</v>
      </c>
    </row>
    <row r="16" spans="1:6" x14ac:dyDescent="0.3">
      <c r="A16" s="84" t="s">
        <v>144</v>
      </c>
      <c r="B16" s="98">
        <f>input_tables!P22</f>
        <v>1.3504214160000015E-3</v>
      </c>
      <c r="C16" s="4"/>
      <c r="D16" s="85" t="s">
        <v>44</v>
      </c>
      <c r="E16" t="s">
        <v>22</v>
      </c>
    </row>
    <row r="17" spans="1:11" x14ac:dyDescent="0.3">
      <c r="A17" s="84" t="s">
        <v>45</v>
      </c>
      <c r="B17" s="99">
        <v>10</v>
      </c>
      <c r="C17" s="4"/>
      <c r="D17" s="24"/>
      <c r="E17" t="s">
        <v>22</v>
      </c>
    </row>
    <row r="18" spans="1:11" x14ac:dyDescent="0.3">
      <c r="A18" s="86" t="s">
        <v>147</v>
      </c>
      <c r="B18" s="99">
        <v>7500</v>
      </c>
      <c r="C18" s="4"/>
      <c r="D18" s="24"/>
      <c r="E18" t="s">
        <v>22</v>
      </c>
    </row>
    <row r="19" spans="1:11" x14ac:dyDescent="0.3">
      <c r="A19" s="86" t="s">
        <v>161</v>
      </c>
      <c r="B19" s="100">
        <f>8.7*0.907185</f>
        <v>7.8925094999999992</v>
      </c>
      <c r="C19" s="4" t="s">
        <v>204</v>
      </c>
      <c r="D19" s="87" t="s">
        <v>163</v>
      </c>
      <c r="E19" t="s">
        <v>22</v>
      </c>
    </row>
    <row r="20" spans="1:11" x14ac:dyDescent="0.3">
      <c r="A20" s="86" t="s">
        <v>162</v>
      </c>
      <c r="B20" s="100">
        <f>14.8*0.907185</f>
        <v>13.426338000000001</v>
      </c>
      <c r="C20" s="4" t="s">
        <v>204</v>
      </c>
      <c r="D20" s="87" t="s">
        <v>163</v>
      </c>
      <c r="E20" t="s">
        <v>22</v>
      </c>
    </row>
    <row r="21" spans="1:11" x14ac:dyDescent="0.3">
      <c r="A21" s="41" t="s">
        <v>156</v>
      </c>
      <c r="B21" s="101">
        <v>5.7000000000000002E-2</v>
      </c>
      <c r="C21" s="42"/>
      <c r="D21" s="62"/>
      <c r="E21" t="s">
        <v>22</v>
      </c>
    </row>
    <row r="22" spans="1:11" ht="15" thickBot="1" x14ac:dyDescent="0.35">
      <c r="A22" s="63" t="s">
        <v>165</v>
      </c>
      <c r="B22" s="102">
        <v>0.65</v>
      </c>
      <c r="C22" s="39"/>
      <c r="D22" s="95" t="s">
        <v>173</v>
      </c>
      <c r="E22" t="s">
        <v>22</v>
      </c>
    </row>
    <row r="23" spans="1:11" x14ac:dyDescent="0.3">
      <c r="A23" s="30"/>
      <c r="B23" s="58"/>
      <c r="C23" s="30"/>
      <c r="D23" s="30"/>
    </row>
    <row r="24" spans="1:11" ht="18" x14ac:dyDescent="0.35">
      <c r="A24" s="60" t="s">
        <v>203</v>
      </c>
    </row>
    <row r="25" spans="1:11" x14ac:dyDescent="0.3">
      <c r="A25" s="105" t="s">
        <v>1</v>
      </c>
      <c r="B25" s="105"/>
      <c r="C25" s="105"/>
      <c r="D25" s="105"/>
      <c r="E25" s="105"/>
      <c r="F25" s="105"/>
      <c r="G25" s="105"/>
      <c r="H25" s="105"/>
      <c r="I25" s="105"/>
      <c r="J25" s="105"/>
    </row>
    <row r="26" spans="1:11" x14ac:dyDescent="0.3">
      <c r="A26" s="61" t="s">
        <v>46</v>
      </c>
      <c r="B26" s="65" t="s">
        <v>47</v>
      </c>
      <c r="C26" s="65" t="s">
        <v>48</v>
      </c>
      <c r="D26" s="65" t="s">
        <v>49</v>
      </c>
      <c r="E26" s="65" t="s">
        <v>50</v>
      </c>
      <c r="F26" s="65" t="s">
        <v>51</v>
      </c>
      <c r="G26" s="65" t="s">
        <v>52</v>
      </c>
      <c r="H26" s="65" t="s">
        <v>53</v>
      </c>
      <c r="I26" s="65" t="s">
        <v>54</v>
      </c>
      <c r="J26" s="65" t="s">
        <v>55</v>
      </c>
    </row>
    <row r="27" spans="1:11" x14ac:dyDescent="0.3">
      <c r="A27" s="81">
        <v>0</v>
      </c>
      <c r="B27" s="81">
        <v>0</v>
      </c>
      <c r="C27" s="81">
        <v>0</v>
      </c>
      <c r="D27" s="81">
        <v>0.44871250000000001</v>
      </c>
      <c r="E27" s="81">
        <v>1</v>
      </c>
      <c r="F27" s="81">
        <v>1</v>
      </c>
      <c r="G27" s="81">
        <v>1</v>
      </c>
      <c r="H27" s="81">
        <v>1</v>
      </c>
      <c r="I27" s="81">
        <v>1</v>
      </c>
      <c r="J27" s="81">
        <v>1</v>
      </c>
    </row>
    <row r="28" spans="1:11" x14ac:dyDescent="0.3">
      <c r="A28" s="59"/>
      <c r="B28" s="59"/>
      <c r="C28" s="59"/>
      <c r="D28" s="59"/>
    </row>
    <row r="29" spans="1:11" x14ac:dyDescent="0.3">
      <c r="K29" s="59"/>
    </row>
    <row r="30" spans="1:11" ht="23.4" x14ac:dyDescent="0.45">
      <c r="A30" s="12" t="s">
        <v>56</v>
      </c>
      <c r="B30" s="10"/>
      <c r="D30" s="16" t="s">
        <v>200</v>
      </c>
      <c r="E30" s="59"/>
      <c r="F30" s="59"/>
      <c r="G30" s="59"/>
      <c r="H30" s="59"/>
      <c r="I30" s="59"/>
    </row>
    <row r="31" spans="1:11" x14ac:dyDescent="0.3">
      <c r="A31" s="4" t="s">
        <v>57</v>
      </c>
      <c r="B31" s="8">
        <f>model!C12-input_output!B8</f>
        <v>15.14843761920929</v>
      </c>
      <c r="D31" s="4" t="s">
        <v>201</v>
      </c>
      <c r="E31" s="132">
        <v>0.49043300000000001</v>
      </c>
    </row>
    <row r="32" spans="1:11" x14ac:dyDescent="0.3">
      <c r="A32" s="4" t="s">
        <v>58</v>
      </c>
      <c r="B32" s="6">
        <f>(input_output!B8-model!C12)/model!C12</f>
        <v>-2.5506713643412072E-8</v>
      </c>
      <c r="C32" s="1"/>
      <c r="D32" s="4" t="s">
        <v>199</v>
      </c>
      <c r="E32" s="7">
        <v>0.35784820000000001</v>
      </c>
    </row>
    <row r="33" spans="1:5" x14ac:dyDescent="0.3">
      <c r="A33" s="4" t="s">
        <v>59</v>
      </c>
      <c r="B33" s="8">
        <f>model!I12</f>
        <v>97343652.261064768</v>
      </c>
      <c r="D33" s="4" t="s">
        <v>202</v>
      </c>
      <c r="E33" s="7">
        <v>0.44871250000000001</v>
      </c>
    </row>
    <row r="34" spans="1:5" x14ac:dyDescent="0.3">
      <c r="A34" s="4" t="s">
        <v>60</v>
      </c>
      <c r="B34" s="6">
        <f>model!I12/model!X12</f>
        <v>0.35512874999999994</v>
      </c>
    </row>
    <row r="35" spans="1:5" x14ac:dyDescent="0.3">
      <c r="A35" s="4" t="s">
        <v>61</v>
      </c>
      <c r="B35" s="5">
        <f>B33/10</f>
        <v>9734365.226106476</v>
      </c>
    </row>
    <row r="36" spans="1:5" x14ac:dyDescent="0.3">
      <c r="A36" s="4" t="s">
        <v>62</v>
      </c>
      <c r="B36" s="20">
        <f>B35/B3</f>
        <v>3.835232953768445E-2</v>
      </c>
    </row>
    <row r="37" spans="1:5" x14ac:dyDescent="0.3">
      <c r="A37" s="4" t="s">
        <v>63</v>
      </c>
      <c r="B37" s="67">
        <f>SUM(financials!B6:K6) / 1000000000</f>
        <v>864.88837044888248</v>
      </c>
    </row>
    <row r="38" spans="1:5" x14ac:dyDescent="0.3">
      <c r="A38" s="64" t="s">
        <v>64</v>
      </c>
      <c r="B38" s="68">
        <f>model!I12*B18 /1000000000</f>
        <v>730.0773919579857</v>
      </c>
    </row>
    <row r="39" spans="1:5" x14ac:dyDescent="0.3">
      <c r="A39" s="78" t="s">
        <v>145</v>
      </c>
      <c r="B39" s="6">
        <f>(B38-B37)/B37</f>
        <v>-0.15587095756754024</v>
      </c>
    </row>
    <row r="40" spans="1:5" ht="18" x14ac:dyDescent="0.35">
      <c r="A40" s="78" t="s">
        <v>157</v>
      </c>
      <c r="B40" s="96">
        <f>(model!L12-B11)/-B11</f>
        <v>0.63573805515840653</v>
      </c>
    </row>
  </sheetData>
  <hyperlinks>
    <hyperlink ref="D7" r:id="rId1" xr:uid="{51FD1C0C-D6E3-477D-9F1D-C7E2BF445723}"/>
    <hyperlink ref="D9" r:id="rId2" location=":~:text=filled%20with%20gasoline-,The%20amount%20of%20carbon%20dioxide%20emitted%20per%20gallon%20of%20motor,tanker%20truck%20contains%208%2C500%20gallons." display="https://www.epa.gov/energy/greenhouse-gases-equivalencies-calculator-calculations-and-references#:~:text=filled%20with%20gasoline-,The%20amount%20of%20carbon%20dioxide%20emitted%20per%20gallon%20of%20motor,tanker%20truck%20contains%208%2C500%20gallons." xr:uid="{31E57CFF-7B24-463B-81D8-083833A88A17}"/>
    <hyperlink ref="D16" r:id="rId3" xr:uid="{721BE0C3-7D7E-4D04-9539-824B31E01320}"/>
    <hyperlink ref="D22" r:id="rId4" location=":~:text=Of%20the%2017.5%20million%20vehicles,just%20helpful%E2%80%94it%20is%20essential. " xr:uid="{F9697EE9-7FA1-4ADA-A1A2-DDA137EE2D3E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BE37-EB78-4896-A042-3F92DF7DDCCA}">
  <dimension ref="A1:X37"/>
  <sheetViews>
    <sheetView topLeftCell="H1" zoomScale="79" zoomScaleNormal="100" workbookViewId="0">
      <selection activeCell="L12" sqref="L12"/>
    </sheetView>
  </sheetViews>
  <sheetFormatPr defaultRowHeight="14.4" x14ac:dyDescent="0.3"/>
  <cols>
    <col min="3" max="3" width="30.109375" customWidth="1"/>
    <col min="4" max="4" width="35.33203125" bestFit="1" customWidth="1"/>
    <col min="5" max="5" width="35.33203125" customWidth="1"/>
    <col min="6" max="6" width="25.6640625" customWidth="1"/>
    <col min="7" max="7" width="37.33203125" bestFit="1" customWidth="1"/>
    <col min="8" max="8" width="21.109375" bestFit="1" customWidth="1"/>
    <col min="9" max="9" width="25.6640625" customWidth="1"/>
    <col min="10" max="10" width="43.33203125" bestFit="1" customWidth="1"/>
    <col min="11" max="11" width="34.6640625" customWidth="1"/>
    <col min="12" max="12" width="25.6640625" customWidth="1"/>
    <col min="13" max="13" width="25.6640625" bestFit="1" customWidth="1"/>
    <col min="14" max="15" width="22.6640625" bestFit="1" customWidth="1"/>
    <col min="16" max="20" width="21.6640625" bestFit="1" customWidth="1"/>
    <col min="21" max="21" width="20.109375" bestFit="1" customWidth="1"/>
    <col min="22" max="22" width="18.88671875" bestFit="1" customWidth="1"/>
    <col min="23" max="23" width="18.88671875" customWidth="1"/>
    <col min="24" max="24" width="18" bestFit="1" customWidth="1"/>
  </cols>
  <sheetData>
    <row r="1" spans="1:24" s="18" customFormat="1" ht="18" x14ac:dyDescent="0.35">
      <c r="A1" s="17" t="s">
        <v>103</v>
      </c>
      <c r="B1" s="17" t="s">
        <v>104</v>
      </c>
      <c r="C1" s="17" t="s">
        <v>105</v>
      </c>
      <c r="D1" s="17" t="s">
        <v>106</v>
      </c>
      <c r="E1" s="17" t="s">
        <v>107</v>
      </c>
      <c r="F1" s="17" t="s">
        <v>108</v>
      </c>
      <c r="G1" s="17" t="s">
        <v>109</v>
      </c>
      <c r="H1" s="17" t="s">
        <v>176</v>
      </c>
      <c r="I1" s="17" t="s">
        <v>110</v>
      </c>
      <c r="J1" s="17" t="s">
        <v>111</v>
      </c>
      <c r="K1" s="17" t="s">
        <v>112</v>
      </c>
      <c r="L1" s="17" t="s">
        <v>113</v>
      </c>
      <c r="M1" s="17" t="s">
        <v>46</v>
      </c>
      <c r="N1" s="17" t="s">
        <v>47</v>
      </c>
      <c r="O1" s="17" t="s">
        <v>48</v>
      </c>
      <c r="P1" s="17" t="s">
        <v>49</v>
      </c>
      <c r="Q1" s="17" t="s">
        <v>50</v>
      </c>
      <c r="R1" s="17" t="s">
        <v>51</v>
      </c>
      <c r="S1" s="17" t="s">
        <v>52</v>
      </c>
      <c r="T1" s="17" t="s">
        <v>53</v>
      </c>
      <c r="U1" s="17" t="s">
        <v>54</v>
      </c>
      <c r="V1" s="17" t="s">
        <v>55</v>
      </c>
      <c r="W1" s="17" t="s">
        <v>164</v>
      </c>
      <c r="X1" s="17" t="s">
        <v>114</v>
      </c>
    </row>
    <row r="2" spans="1:24" s="9" customFormat="1" ht="43.2" x14ac:dyDescent="0.3">
      <c r="A2" s="32"/>
      <c r="B2" s="32"/>
      <c r="C2" s="32" t="s">
        <v>115</v>
      </c>
      <c r="D2" s="33" t="s">
        <v>181</v>
      </c>
      <c r="E2" s="33" t="s">
        <v>116</v>
      </c>
      <c r="F2" s="33" t="s">
        <v>117</v>
      </c>
      <c r="G2" s="33" t="s">
        <v>118</v>
      </c>
      <c r="H2" s="33" t="s">
        <v>119</v>
      </c>
      <c r="I2" s="33" t="s">
        <v>120</v>
      </c>
      <c r="J2" s="33" t="s">
        <v>121</v>
      </c>
      <c r="K2" s="33" t="s">
        <v>122</v>
      </c>
      <c r="L2" s="33" t="s">
        <v>123</v>
      </c>
      <c r="M2" s="34" t="s">
        <v>28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6" t="s">
        <v>124</v>
      </c>
    </row>
    <row r="3" spans="1:24" x14ac:dyDescent="0.3">
      <c r="A3" s="4">
        <v>1</v>
      </c>
      <c r="B3" s="4">
        <v>2021</v>
      </c>
      <c r="C3" s="5">
        <f>D3+J3+K3</f>
        <v>1345701196.6325707</v>
      </c>
      <c r="D3" s="5">
        <f>E3*input_tables!AE14*0.00045</f>
        <v>3.1592005162389207E-8</v>
      </c>
      <c r="E3" s="5">
        <f>F3*(1-H3)</f>
        <v>5.2473266063303358E-5</v>
      </c>
      <c r="F3" s="5">
        <f>G3*input_output!$B$12*(1-input_output!$B$13)^A3</f>
        <v>6.8147098783510855E-5</v>
      </c>
      <c r="G3" s="5">
        <f>SUM(M27:V27)</f>
        <v>2.3266336218337612E-4</v>
      </c>
      <c r="H3" s="7">
        <f>input_output!B14</f>
        <v>0.23</v>
      </c>
      <c r="I3" s="5">
        <f>X3-SUM(M3:V3)</f>
        <v>0</v>
      </c>
      <c r="J3" s="5">
        <f>L3*input_output!$B$9</f>
        <v>1168189336.797509</v>
      </c>
      <c r="K3" s="5">
        <f>L3*input_output!$B$16</f>
        <v>177511859.83506185</v>
      </c>
      <c r="L3" s="5">
        <f>input_output!B10</f>
        <v>131449233351.80701</v>
      </c>
      <c r="M3" s="8">
        <f>X3*0.1*input_tables!B3</f>
        <v>25513909.747199994</v>
      </c>
      <c r="N3" s="8">
        <f>X3*0.1*input_tables!C3</f>
        <v>25513909.747199994</v>
      </c>
      <c r="O3" s="8">
        <f>X3*0.1*input_tables!D3</f>
        <v>25513909.747200001</v>
      </c>
      <c r="P3" s="8">
        <f>X3*0.1*input_tables!E3</f>
        <v>25513909.747200001</v>
      </c>
      <c r="Q3" s="8">
        <f>X3*0.1*input_tables!F3</f>
        <v>25513909.747200001</v>
      </c>
      <c r="R3" s="8">
        <f>X3*0.1*input_tables!G3</f>
        <v>25513909.747200001</v>
      </c>
      <c r="S3" s="8">
        <f>X3*0.1*input_tables!H3</f>
        <v>25513909.747200001</v>
      </c>
      <c r="T3" s="8">
        <f>X3*0.1*input_tables!I3</f>
        <v>25513909.747200001</v>
      </c>
      <c r="U3" s="8">
        <f>X3*0.1*input_tables!J3</f>
        <v>25513909.747200001</v>
      </c>
      <c r="V3" s="8">
        <f>X3*0.1*input_tables!K3</f>
        <v>25513909.747200001</v>
      </c>
      <c r="W3" s="8">
        <f>X3*input_output!$B$21</f>
        <v>14542928.555904001</v>
      </c>
      <c r="X3" s="13">
        <f>input_output!$B$6*(1+input_output!$B$4)^model!A3</f>
        <v>255139097.472</v>
      </c>
    </row>
    <row r="4" spans="1:24" x14ac:dyDescent="0.3">
      <c r="A4" s="4">
        <v>2</v>
      </c>
      <c r="B4" s="4">
        <v>2022</v>
      </c>
      <c r="C4" s="5">
        <f t="shared" ref="C4:C11" si="0">D4+J4+K4</f>
        <v>1314728268.992661</v>
      </c>
      <c r="D4" s="5">
        <f>E4*input_tables!AE15*0.00045</f>
        <v>13032532.296012646</v>
      </c>
      <c r="E4" s="5">
        <f>F4*(1-H4)</f>
        <v>20184665371.162205</v>
      </c>
      <c r="F4" s="5">
        <f>G4*input_output!$B$12*(1-input_output!$B$13)^A4</f>
        <v>27235680410.863544</v>
      </c>
      <c r="G4" s="5">
        <f t="shared" ref="G4:G12" si="1">SUM(M28:V28)</f>
        <v>92065620378.203445</v>
      </c>
      <c r="H4" s="7">
        <f>H3-(($H$3-$H$12)/9)</f>
        <v>0.25888888888888889</v>
      </c>
      <c r="I4" s="5">
        <f>X4-SUM(M4:V4)</f>
        <v>10148009.621272296</v>
      </c>
      <c r="J4" s="5">
        <f>L4*input_output!$B$9</f>
        <v>1129988650.6521354</v>
      </c>
      <c r="K4" s="5">
        <f>L4*input_output!$B$16</f>
        <v>171707086.04451305</v>
      </c>
      <c r="L4" s="5">
        <f t="shared" ref="L4:L11" si="2">SUM(M16:V16)</f>
        <v>127150742731.19559</v>
      </c>
      <c r="M4" s="8">
        <f>X4*0.1*input_tables!B4</f>
        <v>22860463.133491196</v>
      </c>
      <c r="N4" s="8">
        <f>X4*0.1*input_tables!C4</f>
        <v>22860463.133491196</v>
      </c>
      <c r="O4" s="8">
        <f>X4*0.1*input_tables!D4</f>
        <v>22860463.133491199</v>
      </c>
      <c r="P4" s="8">
        <f>X4*0.1*input_tables!E4</f>
        <v>24142685.078964535</v>
      </c>
      <c r="Q4" s="8">
        <f>X4*0.1*input_tables!F4</f>
        <v>25718021.025177602</v>
      </c>
      <c r="R4" s="8">
        <f>X4*0.1*input_tables!G4</f>
        <v>25718021.025177602</v>
      </c>
      <c r="S4" s="8">
        <f>X4*0.1*input_tables!H4</f>
        <v>25718021.025177602</v>
      </c>
      <c r="T4" s="8">
        <f>X4*0.1*input_tables!I4</f>
        <v>25718021.025177602</v>
      </c>
      <c r="U4" s="8">
        <f>X4*0.1*input_tables!J4</f>
        <v>25718021.025177602</v>
      </c>
      <c r="V4" s="8">
        <f>X4*0.1*input_tables!K4</f>
        <v>25718021.025177602</v>
      </c>
      <c r="W4" s="8">
        <f>X4*input_output!$B$21</f>
        <v>14659271.984351233</v>
      </c>
      <c r="X4" s="13">
        <f>input_output!$B$6*(1+input_output!$B$4)^model!A4</f>
        <v>257180210.25177601</v>
      </c>
    </row>
    <row r="5" spans="1:24" x14ac:dyDescent="0.3">
      <c r="A5" s="4">
        <v>3</v>
      </c>
      <c r="B5" s="4">
        <v>2023</v>
      </c>
      <c r="C5" s="5">
        <f t="shared" si="0"/>
        <v>1233954228.3675871</v>
      </c>
      <c r="D5" s="5">
        <f>E5*input_tables!AE16*0.00045</f>
        <v>25776247.013754629</v>
      </c>
      <c r="E5" s="5">
        <f t="shared" ref="E5:E12" si="3">F5*(1-H5)</f>
        <v>39497140154.745583</v>
      </c>
      <c r="F5" s="5">
        <f>G5*input_output!$B$12*(1-input_output!$B$13)^A5</f>
        <v>55456203025.383812</v>
      </c>
      <c r="G5" s="5">
        <f t="shared" si="1"/>
        <v>185604290682.45782</v>
      </c>
      <c r="H5" s="7">
        <f t="shared" ref="H5:H11" si="4">H4-(($H$3-$H$12)/9)</f>
        <v>0.2877777777777778</v>
      </c>
      <c r="I5" s="5">
        <f t="shared" ref="I5:I11" si="5">X5-SUM(M5:V5)</f>
        <v>20458387.396484941</v>
      </c>
      <c r="J5" s="5">
        <f>L5*input_output!$B$9</f>
        <v>1048806851.2555904</v>
      </c>
      <c r="K5" s="5">
        <f>L5*input_output!$B$16</f>
        <v>159371130.09824207</v>
      </c>
      <c r="L5" s="5">
        <f t="shared" si="2"/>
        <v>118015849134.19493</v>
      </c>
      <c r="M5" s="8">
        <f>X5*0.1*input_tables!B5</f>
        <v>20162928.483739238</v>
      </c>
      <c r="N5" s="8">
        <f>X5*0.1*input_tables!C5</f>
        <v>20162928.483739238</v>
      </c>
      <c r="O5" s="8">
        <f>X5*0.1*input_tables!D5</f>
        <v>20162928.483739238</v>
      </c>
      <c r="P5" s="8">
        <f>X5*0.1*input_tables!E5</f>
        <v>22747887.925813485</v>
      </c>
      <c r="Q5" s="8">
        <f>X5*0.1*input_tables!F5</f>
        <v>25923765.193379026</v>
      </c>
      <c r="R5" s="8">
        <f>X5*0.1*input_tables!G5</f>
        <v>25923765.193379026</v>
      </c>
      <c r="S5" s="8">
        <f>X5*0.1*input_tables!H5</f>
        <v>25923765.193379026</v>
      </c>
      <c r="T5" s="8">
        <f>X5*0.1*input_tables!I5</f>
        <v>25923765.193379026</v>
      </c>
      <c r="U5" s="8">
        <f>X5*0.1*input_tables!J5</f>
        <v>25923765.193379026</v>
      </c>
      <c r="V5" s="8">
        <f>X5*0.1*input_tables!K5</f>
        <v>25923765.193379026</v>
      </c>
      <c r="W5" s="8">
        <f>X5*input_output!$B$21</f>
        <v>14776546.160226043</v>
      </c>
      <c r="X5" s="13">
        <f>input_output!$B$6*(1+input_output!$B$4)^model!A5</f>
        <v>259237651.93379024</v>
      </c>
    </row>
    <row r="6" spans="1:24" x14ac:dyDescent="0.3">
      <c r="A6" s="4">
        <v>4</v>
      </c>
      <c r="B6" s="4">
        <v>2024</v>
      </c>
      <c r="C6" s="5">
        <f t="shared" si="0"/>
        <v>1149477029.8572094</v>
      </c>
      <c r="D6" s="5">
        <f>E6*input_tables!AE17*0.00045</f>
        <v>36396396.458826497</v>
      </c>
      <c r="E6" s="5">
        <f t="shared" si="3"/>
        <v>57870322455.484863</v>
      </c>
      <c r="F6" s="5">
        <f>G6*input_output!$B$12*(1-input_output!$B$13)^A6</f>
        <v>84688276764.124191</v>
      </c>
      <c r="G6" s="5">
        <f t="shared" si="1"/>
        <v>280633687511.8764</v>
      </c>
      <c r="H6" s="7">
        <f t="shared" si="4"/>
        <v>0.31666666666666671</v>
      </c>
      <c r="I6" s="5">
        <f t="shared" si="5"/>
        <v>30933081.743485183</v>
      </c>
      <c r="J6" s="5">
        <f>L6*input_output!$B$9</f>
        <v>966253823.79505897</v>
      </c>
      <c r="K6" s="5">
        <f>L6*input_output!$B$16</f>
        <v>146826809.60332388</v>
      </c>
      <c r="L6" s="5">
        <f t="shared" si="2"/>
        <v>108726659592.10745</v>
      </c>
      <c r="M6" s="8">
        <f>X6*0.1*input_tables!B6</f>
        <v>17420770.2099507</v>
      </c>
      <c r="N6" s="8">
        <f>X6*0.1*input_tables!C6</f>
        <v>17420770.2099507</v>
      </c>
      <c r="O6" s="8">
        <f>X6*0.1*input_tables!D6</f>
        <v>17420770.2099507</v>
      </c>
      <c r="P6" s="8">
        <f>X6*0.1*input_tables!E6</f>
        <v>21329228.886366963</v>
      </c>
      <c r="Q6" s="8">
        <f>X6*0.1*input_tables!F6</f>
        <v>26131155.314926058</v>
      </c>
      <c r="R6" s="8">
        <f>X6*0.1*input_tables!G6</f>
        <v>26131155.314926058</v>
      </c>
      <c r="S6" s="8">
        <f>X6*0.1*input_tables!H6</f>
        <v>26131155.314926058</v>
      </c>
      <c r="T6" s="8">
        <f>X6*0.1*input_tables!I6</f>
        <v>26131155.314926058</v>
      </c>
      <c r="U6" s="8">
        <f>X6*0.1*input_tables!J6</f>
        <v>26131155.314926058</v>
      </c>
      <c r="V6" s="8">
        <f>X6*0.1*input_tables!K6</f>
        <v>26131155.314926058</v>
      </c>
      <c r="W6" s="8">
        <f>X6*input_output!$B$21</f>
        <v>14894758.529507853</v>
      </c>
      <c r="X6" s="13">
        <f>input_output!$B$6*(1+input_output!$B$4)^model!A6</f>
        <v>261311553.14926058</v>
      </c>
    </row>
    <row r="7" spans="1:24" x14ac:dyDescent="0.3">
      <c r="A7" s="4">
        <v>5</v>
      </c>
      <c r="B7" s="4">
        <v>2025</v>
      </c>
      <c r="C7" s="5">
        <f t="shared" si="0"/>
        <v>1062671326.2836506</v>
      </c>
      <c r="D7" s="5">
        <f>E7*input_tables!AE18*0.00045</f>
        <v>46286921.798810922</v>
      </c>
      <c r="E7" s="5">
        <f>F7*(1-H7)</f>
        <v>75234445386.553284</v>
      </c>
      <c r="F7" s="5">
        <f>G7*input_output!$B$12*(1-input_output!$B$13)^A7</f>
        <v>114959254410.69264</v>
      </c>
      <c r="G7" s="5">
        <f t="shared" si="1"/>
        <v>377171676015.96155</v>
      </c>
      <c r="H7" s="7">
        <f t="shared" si="4"/>
        <v>0.34555555555555562</v>
      </c>
      <c r="I7" s="5">
        <f t="shared" si="5"/>
        <v>41574061.863244027</v>
      </c>
      <c r="J7" s="5">
        <f>L7*input_output!$B$9</f>
        <v>882312824.25667894</v>
      </c>
      <c r="K7" s="5">
        <f>L7*input_output!$B$16</f>
        <v>134071580.22816077</v>
      </c>
      <c r="L7" s="5">
        <f t="shared" si="2"/>
        <v>99281290003.002014</v>
      </c>
      <c r="M7" s="8">
        <f>X7*0.1*input_tables!B7</f>
        <v>14633446.976358591</v>
      </c>
      <c r="N7" s="8">
        <f>X7*0.1*input_tables!C7</f>
        <v>14633446.976358591</v>
      </c>
      <c r="O7" s="8">
        <f>X7*0.1*input_tables!D7</f>
        <v>14633446.976358587</v>
      </c>
      <c r="P7" s="8">
        <f>X7*0.1*input_tables!E7</f>
        <v>19886415.437462043</v>
      </c>
      <c r="Q7" s="8">
        <f>X7*0.1*input_tables!F7</f>
        <v>26340204.557445467</v>
      </c>
      <c r="R7" s="8">
        <f>X7*0.1*input_tables!G7</f>
        <v>26340204.557445467</v>
      </c>
      <c r="S7" s="8">
        <f>X7*0.1*input_tables!H7</f>
        <v>26340204.557445467</v>
      </c>
      <c r="T7" s="8">
        <f>X7*0.1*input_tables!I7</f>
        <v>26340204.557445467</v>
      </c>
      <c r="U7" s="8">
        <f>X7*0.1*input_tables!J7</f>
        <v>26340204.557445467</v>
      </c>
      <c r="V7" s="8">
        <f>X7*0.1*input_tables!K7</f>
        <v>26340204.557445467</v>
      </c>
      <c r="W7" s="8">
        <f>X7*input_output!$B$21</f>
        <v>15013916.597743915</v>
      </c>
      <c r="X7" s="13">
        <f>input_output!$B$6*(1+input_output!$B$4)^model!A7</f>
        <v>263402045.57445464</v>
      </c>
    </row>
    <row r="8" spans="1:24" x14ac:dyDescent="0.3">
      <c r="A8" s="4">
        <v>6</v>
      </c>
      <c r="B8" s="4">
        <v>2026</v>
      </c>
      <c r="C8" s="5">
        <f t="shared" si="0"/>
        <v>972701414.21645343</v>
      </c>
      <c r="D8" s="5">
        <f>E8*input_tables!AE19*0.00045</f>
        <v>54631615.468311168</v>
      </c>
      <c r="E8" s="5">
        <f t="shared" si="3"/>
        <v>91516993169.773041</v>
      </c>
      <c r="F8" s="5">
        <f>G8*input_output!$B$12*(1-input_output!$B$13)^A8</f>
        <v>146297147163.04752</v>
      </c>
      <c r="G8" s="5">
        <f t="shared" si="1"/>
        <v>475236311780.11169</v>
      </c>
      <c r="H8" s="7">
        <f t="shared" si="4"/>
        <v>0.37444444444444452</v>
      </c>
      <c r="I8" s="5">
        <f t="shared" si="5"/>
        <v>52383317.947687507</v>
      </c>
      <c r="J8" s="5">
        <f>L8*input_output!$B$9</f>
        <v>796966928.4809618</v>
      </c>
      <c r="K8" s="5">
        <f>L8*input_output!$B$16</f>
        <v>121102870.2671804</v>
      </c>
      <c r="L8" s="5">
        <f t="shared" si="2"/>
        <v>89677835994.256973</v>
      </c>
      <c r="M8" s="8">
        <f>X8*0.1*input_tables!B8</f>
        <v>11800411.641735569</v>
      </c>
      <c r="N8" s="8">
        <f>X8*0.1*input_tables!C8</f>
        <v>11800411.641735569</v>
      </c>
      <c r="O8" s="8">
        <f>X8*0.1*input_tables!D8</f>
        <v>11800411.641735563</v>
      </c>
      <c r="P8" s="8">
        <f>X8*0.1*input_tables!E8</f>
        <v>18419151.902725916</v>
      </c>
      <c r="Q8" s="8">
        <f>X8*0.1*input_tables!F8</f>
        <v>26550926.193905029</v>
      </c>
      <c r="R8" s="8">
        <f>X8*0.1*input_tables!G8</f>
        <v>26550926.193905029</v>
      </c>
      <c r="S8" s="8">
        <f>X8*0.1*input_tables!H8</f>
        <v>26550926.193905029</v>
      </c>
      <c r="T8" s="8">
        <f>X8*0.1*input_tables!I8</f>
        <v>26550926.193905029</v>
      </c>
      <c r="U8" s="8">
        <f>X8*0.1*input_tables!J8</f>
        <v>26550926.193905029</v>
      </c>
      <c r="V8" s="8">
        <f>X8*0.1*input_tables!K8</f>
        <v>26550926.193905029</v>
      </c>
      <c r="W8" s="8">
        <f>X8*input_output!$B$21</f>
        <v>15134027.930525867</v>
      </c>
      <c r="X8" s="13">
        <f>input_output!$B$6*(1+input_output!$B$4)^model!A8</f>
        <v>265509261.93905029</v>
      </c>
    </row>
    <row r="9" spans="1:24" x14ac:dyDescent="0.3">
      <c r="A9" s="4">
        <v>7</v>
      </c>
      <c r="B9" s="4">
        <v>2027</v>
      </c>
      <c r="C9" s="5">
        <f t="shared" si="0"/>
        <v>881749968.3199085</v>
      </c>
      <c r="D9" s="5">
        <f>E9*input_tables!AE20*0.00045</f>
        <v>63632857.602137871</v>
      </c>
      <c r="E9" s="5">
        <f t="shared" si="3"/>
        <v>106642614901.96884</v>
      </c>
      <c r="F9" s="5">
        <f>G9*input_output!$B$12*(1-input_output!$B$13)^A9</f>
        <v>178730639500.50647</v>
      </c>
      <c r="G9" s="5">
        <f t="shared" si="1"/>
        <v>574845842729.22314</v>
      </c>
      <c r="H9" s="7">
        <f t="shared" si="4"/>
        <v>0.40333333333333343</v>
      </c>
      <c r="I9" s="5">
        <f t="shared" si="5"/>
        <v>63362861.389522821</v>
      </c>
      <c r="J9" s="5">
        <f>L9*input_output!$B$9</f>
        <v>710199030.35208082</v>
      </c>
      <c r="K9" s="5">
        <f>L9*input_output!$B$16</f>
        <v>107918080.36568975</v>
      </c>
      <c r="L9" s="5">
        <f t="shared" si="2"/>
        <v>79914372718.811829</v>
      </c>
      <c r="M9" s="8">
        <f>X9*0.1*input_tables!B9</f>
        <v>8921111.2011520918</v>
      </c>
      <c r="N9" s="8">
        <f>X9*0.1*input_tables!C9</f>
        <v>8921111.2011520918</v>
      </c>
      <c r="O9" s="8">
        <f>X9*0.1*input_tables!D9</f>
        <v>8921111.2011520863</v>
      </c>
      <c r="P9" s="8">
        <f>X9*0.1*input_tables!E9</f>
        <v>16927139.420846015</v>
      </c>
      <c r="Q9" s="8">
        <f>X9*0.1*input_tables!F9</f>
        <v>26763333.603456274</v>
      </c>
      <c r="R9" s="8">
        <f>X9*0.1*input_tables!G9</f>
        <v>26763333.603456274</v>
      </c>
      <c r="S9" s="8">
        <f>X9*0.1*input_tables!H9</f>
        <v>26763333.603456274</v>
      </c>
      <c r="T9" s="8">
        <f>X9*0.1*input_tables!I9</f>
        <v>26763333.603456274</v>
      </c>
      <c r="U9" s="8">
        <f>X9*0.1*input_tables!J9</f>
        <v>26763333.603456274</v>
      </c>
      <c r="V9" s="8">
        <f>X9*0.1*input_tables!K9</f>
        <v>26763333.603456274</v>
      </c>
      <c r="W9" s="8">
        <f>X9*input_output!$B$21</f>
        <v>15255100.153970076</v>
      </c>
      <c r="X9" s="13">
        <f>input_output!$B$6*(1+input_output!$B$4)^model!A9</f>
        <v>267633336.03456274</v>
      </c>
    </row>
    <row r="10" spans="1:24" x14ac:dyDescent="0.3">
      <c r="A10" s="4">
        <v>8</v>
      </c>
      <c r="B10" s="4">
        <v>2028</v>
      </c>
      <c r="C10" s="5">
        <f t="shared" si="0"/>
        <v>787788579.02419674</v>
      </c>
      <c r="D10" s="5">
        <f>E10*input_tables!AE21*0.00045</f>
        <v>71282155.812403455</v>
      </c>
      <c r="E10" s="5">
        <f t="shared" si="3"/>
        <v>120533035927.4057</v>
      </c>
      <c r="F10" s="5">
        <f>G10*input_output!$B$12*(1-input_output!$B$13)^A10</f>
        <v>212289104373.12161</v>
      </c>
      <c r="G10" s="5">
        <f t="shared" si="1"/>
        <v>676018711049.56641</v>
      </c>
      <c r="H10" s="7">
        <f t="shared" si="4"/>
        <v>0.43222222222222234</v>
      </c>
      <c r="I10" s="5">
        <f t="shared" si="5"/>
        <v>74514724.994078815</v>
      </c>
      <c r="J10" s="5">
        <f>L10*input_output!$B$9</f>
        <v>621991839.96971512</v>
      </c>
      <c r="K10" s="5">
        <f>L10*input_output!$B$16</f>
        <v>94514583.242078185</v>
      </c>
      <c r="L10" s="5">
        <f t="shared" si="2"/>
        <v>69988954649.455948</v>
      </c>
      <c r="M10" s="8">
        <f>X10*0.1*input_tables!B10</f>
        <v>5994986.7271742076</v>
      </c>
      <c r="N10" s="8">
        <f>X10*0.1*input_tables!C10</f>
        <v>5994986.7271742076</v>
      </c>
      <c r="O10" s="8">
        <f>X10*0.1*input_tables!D10</f>
        <v>5994986.727174201</v>
      </c>
      <c r="P10" s="8">
        <f>X10*0.1*input_tables!E10</f>
        <v>15410075.913534263</v>
      </c>
      <c r="Q10" s="8">
        <f>X10*0.1*input_tables!F10</f>
        <v>26977440.272283927</v>
      </c>
      <c r="R10" s="8">
        <f>X10*0.1*input_tables!G10</f>
        <v>26977440.272283927</v>
      </c>
      <c r="S10" s="8">
        <f>X10*0.1*input_tables!H10</f>
        <v>26977440.272283927</v>
      </c>
      <c r="T10" s="8">
        <f>X10*0.1*input_tables!I10</f>
        <v>26977440.272283927</v>
      </c>
      <c r="U10" s="8">
        <f>X10*0.1*input_tables!J10</f>
        <v>26977440.272283927</v>
      </c>
      <c r="V10" s="8">
        <f>X10*0.1*input_tables!K10</f>
        <v>26977440.272283927</v>
      </c>
      <c r="W10" s="8">
        <f>X10*input_output!$B$21</f>
        <v>15377140.955201836</v>
      </c>
      <c r="X10" s="13">
        <f>input_output!$B$6*(1+input_output!$B$4)^model!A10</f>
        <v>269774402.72283924</v>
      </c>
    </row>
    <row r="11" spans="1:24" x14ac:dyDescent="0.3">
      <c r="A11" s="4">
        <v>9</v>
      </c>
      <c r="B11" s="4">
        <v>2029</v>
      </c>
      <c r="C11" s="5">
        <f t="shared" si="0"/>
        <v>692222101.17757142</v>
      </c>
      <c r="D11" s="5">
        <f>E11*input_tables!AE22*0.00045</f>
        <v>79004495.966937348</v>
      </c>
      <c r="E11" s="5">
        <f t="shared" si="3"/>
        <v>133106966754.78218</v>
      </c>
      <c r="F11" s="5">
        <f>G11*input_output!$B$12*(1-input_output!$B$13)^A11</f>
        <v>247002618720.21442</v>
      </c>
      <c r="G11" s="5">
        <f t="shared" si="1"/>
        <v>778773555129.10034</v>
      </c>
      <c r="H11" s="7">
        <f t="shared" si="4"/>
        <v>0.46111111111111125</v>
      </c>
      <c r="I11" s="5">
        <f t="shared" si="5"/>
        <v>85840963.193178773</v>
      </c>
      <c r="J11" s="5">
        <f>L11*input_output!$B$9</f>
        <v>532327881.8032887</v>
      </c>
      <c r="K11" s="5">
        <f>L11*input_output!$B$16</f>
        <v>80889723.407345384</v>
      </c>
      <c r="L11" s="5">
        <f t="shared" si="2"/>
        <v>59899615371.136337</v>
      </c>
      <c r="M11" s="8">
        <f>X11*0.1*input_tables!B11</f>
        <v>3021473.3104958027</v>
      </c>
      <c r="N11" s="8">
        <f>X11*0.1*input_tables!C11</f>
        <v>3021473.3104958027</v>
      </c>
      <c r="O11" s="8">
        <f>X11*0.1*input_tables!D11</f>
        <v>3021473.3104957952</v>
      </c>
      <c r="P11" s="8">
        <f>X11*0.1*input_tables!E11</f>
        <v>13867656.053182585</v>
      </c>
      <c r="Q11" s="8">
        <f>X11*0.1*input_tables!F11</f>
        <v>27193259.7944622</v>
      </c>
      <c r="R11" s="8">
        <f>X11*0.1*input_tables!G11</f>
        <v>27193259.7944622</v>
      </c>
      <c r="S11" s="8">
        <f>X11*0.1*input_tables!H11</f>
        <v>27193259.7944622</v>
      </c>
      <c r="T11" s="8">
        <f>X11*0.1*input_tables!I11</f>
        <v>27193259.7944622</v>
      </c>
      <c r="U11" s="8">
        <f>X11*0.1*input_tables!J11</f>
        <v>27193259.7944622</v>
      </c>
      <c r="V11" s="8">
        <f>X11*0.1*input_tables!K11</f>
        <v>27193259.7944622</v>
      </c>
      <c r="W11" s="8">
        <f>X11*input_output!$B$21</f>
        <v>15500158.082843453</v>
      </c>
      <c r="X11" s="13">
        <f>input_output!$B$6*(1+input_output!$B$4)^model!A11</f>
        <v>271932597.94462198</v>
      </c>
    </row>
    <row r="12" spans="1:24" x14ac:dyDescent="0.3">
      <c r="A12" s="4">
        <v>10</v>
      </c>
      <c r="B12" s="4">
        <v>2030</v>
      </c>
      <c r="C12" s="5">
        <f>D12+J12+K12</f>
        <v>593900015.14843762</v>
      </c>
      <c r="D12" s="5">
        <f>E12*input_tables!AE23*0.00045</f>
        <v>85669705.4380669</v>
      </c>
      <c r="E12" s="5">
        <f t="shared" si="3"/>
        <v>144280009455.75537</v>
      </c>
      <c r="F12" s="5">
        <f>G12*input_output!$B$12*(1-input_output!$B$13)^A12</f>
        <v>282901979325.0105</v>
      </c>
      <c r="G12" s="5">
        <f t="shared" si="1"/>
        <v>883129211516.40015</v>
      </c>
      <c r="H12" s="7">
        <f>input_output!B15</f>
        <v>0.49</v>
      </c>
      <c r="I12" s="5">
        <f>X12-SUM(M12:V12)</f>
        <v>97343652.261064768</v>
      </c>
      <c r="J12" s="5">
        <f>L12*input_output!$B$9</f>
        <v>441189492.82844132</v>
      </c>
      <c r="K12" s="5">
        <f>L12*input_output!$B$16</f>
        <v>67040816.881929353</v>
      </c>
      <c r="L12" s="5">
        <f>SUM(M24:V24)</f>
        <v>49644367371.266037</v>
      </c>
      <c r="M12" s="8">
        <f>X12*0.1*input_tables!B12</f>
        <v>0</v>
      </c>
      <c r="N12" s="8">
        <f>X12*0.1*input_tables!C12</f>
        <v>0</v>
      </c>
      <c r="O12" s="8">
        <f>X12*0.1*input_tables!D12</f>
        <v>0</v>
      </c>
      <c r="P12" s="8">
        <f>X12*0.1*input_tables!E12</f>
        <v>12299571.230206802</v>
      </c>
      <c r="Q12" s="8">
        <f>X12*0.1*input_tables!F12</f>
        <v>27410805.8728179</v>
      </c>
      <c r="R12" s="8">
        <f>X12*0.1*input_tables!G12</f>
        <v>27410805.8728179</v>
      </c>
      <c r="S12" s="8">
        <f>X12*0.1*input_tables!H12</f>
        <v>27410805.8728179</v>
      </c>
      <c r="T12" s="8">
        <f>X12*0.1*input_tables!I12</f>
        <v>27410805.8728179</v>
      </c>
      <c r="U12" s="8">
        <f>X12*0.1*input_tables!J12</f>
        <v>27410805.8728179</v>
      </c>
      <c r="V12" s="8">
        <f>X12*0.1*input_tables!K12</f>
        <v>27410805.8728179</v>
      </c>
      <c r="W12" s="8">
        <f>X12*input_output!$B$21</f>
        <v>15624159.347506203</v>
      </c>
      <c r="X12" s="13">
        <f>input_output!$B$6*(1+input_output!$B$4)^model!A12</f>
        <v>274108058.72817898</v>
      </c>
    </row>
    <row r="13" spans="1:24" x14ac:dyDescent="0.3">
      <c r="I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30"/>
    </row>
    <row r="14" spans="1:24" x14ac:dyDescent="0.3">
      <c r="L14" s="77"/>
      <c r="M14" s="15" t="s">
        <v>125</v>
      </c>
      <c r="N14" s="4"/>
      <c r="O14" s="4"/>
      <c r="P14" s="4"/>
      <c r="Q14" s="4"/>
      <c r="R14" s="4"/>
      <c r="S14" s="4"/>
      <c r="T14" s="4"/>
      <c r="U14" s="4"/>
      <c r="V14" s="4"/>
      <c r="W14" s="30"/>
    </row>
    <row r="15" spans="1:24" x14ac:dyDescent="0.3">
      <c r="M15" s="14">
        <f>M3*input_tables!$Q$12</f>
        <v>42207239704.824028</v>
      </c>
      <c r="N15" s="14">
        <f>N3*input_tables!$Q$11</f>
        <v>22439481460.963314</v>
      </c>
      <c r="O15" s="14">
        <f>O3*input_tables!$Q$10</f>
        <v>17433187146.465218</v>
      </c>
      <c r="P15" s="14">
        <f>P3*input_tables!$Q$9</f>
        <v>14229313673.440342</v>
      </c>
      <c r="Q15" s="14">
        <f>Q3*input_tables!$Q$8</f>
        <v>11738816708.491758</v>
      </c>
      <c r="R15" s="14">
        <f>R3*input_tables!$Q$7</f>
        <v>9609504130.5135498</v>
      </c>
      <c r="S15" s="14">
        <f>S3*input_tables!$Q$6</f>
        <v>7655508285.773715</v>
      </c>
      <c r="T15" s="14">
        <f>T3*input_tables!$Q$5</f>
        <v>5736679895.6941843</v>
      </c>
      <c r="U15" s="14">
        <f>U3*input_tables!$Q$4</f>
        <v>3721655372.0408764</v>
      </c>
      <c r="V15" s="14">
        <f>V3*input_tables!$Q$3</f>
        <v>1361818037.9472814</v>
      </c>
      <c r="W15" s="89"/>
      <c r="X15" s="11"/>
    </row>
    <row r="16" spans="1:24" x14ac:dyDescent="0.3">
      <c r="L16" s="1"/>
      <c r="M16" s="14">
        <f>M4*input_tables!$Q$12</f>
        <v>37817686775.522331</v>
      </c>
      <c r="N16" s="14">
        <f>N4*input_tables!$Q$11</f>
        <v>20105775389.023129</v>
      </c>
      <c r="O16" s="14">
        <f>O4*input_tables!$Q$10</f>
        <v>15620135683.232834</v>
      </c>
      <c r="P16" s="14">
        <f>P4*input_tables!$Q$9</f>
        <v>13464570593.51223</v>
      </c>
      <c r="Q16" s="14">
        <f>Q4*input_tables!$Q$8</f>
        <v>11832727242.159693</v>
      </c>
      <c r="R16" s="14">
        <f>R4*input_tables!$Q$7</f>
        <v>9686380163.5576591</v>
      </c>
      <c r="S16" s="14">
        <f>S4*input_tables!$Q$6</f>
        <v>7716752352.0599051</v>
      </c>
      <c r="T16" s="14">
        <f>T4*input_tables!$Q$5</f>
        <v>5782573334.8597374</v>
      </c>
      <c r="U16" s="14">
        <f>U4*input_tables!$Q$4</f>
        <v>3751428615.0172033</v>
      </c>
      <c r="V16" s="14">
        <f>V4*input_tables!$Q$3</f>
        <v>1372712582.2508595</v>
      </c>
      <c r="W16" s="89"/>
    </row>
    <row r="17" spans="9:23" x14ac:dyDescent="0.3">
      <c r="M17" s="14">
        <f>M5*input_tables!$Q$12</f>
        <v>33355199736.0107</v>
      </c>
      <c r="N17" s="14">
        <f>N5*input_tables!$Q$11</f>
        <v>17733293893.118404</v>
      </c>
      <c r="O17" s="14">
        <f>O5*input_tables!$Q$10</f>
        <v>13776959672.611361</v>
      </c>
      <c r="P17" s="14">
        <f>P5*input_tables!$Q$9</f>
        <v>12686680948.230169</v>
      </c>
      <c r="Q17" s="14">
        <f>Q5*input_tables!$Q$8</f>
        <v>11927389060.096973</v>
      </c>
      <c r="R17" s="14">
        <f>R5*input_tables!$Q$7</f>
        <v>9763871204.8661213</v>
      </c>
      <c r="S17" s="14">
        <f>S5*input_tables!$Q$6</f>
        <v>7778486370.8763857</v>
      </c>
      <c r="T17" s="14">
        <f>T5*input_tables!$Q$5</f>
        <v>5828833921.5386162</v>
      </c>
      <c r="U17" s="14">
        <f>U5*input_tables!$Q$4</f>
        <v>3781440043.9373417</v>
      </c>
      <c r="V17" s="14">
        <f>V5*input_tables!$Q$3</f>
        <v>1383694282.9088666</v>
      </c>
      <c r="W17" s="89"/>
    </row>
    <row r="18" spans="9:23" x14ac:dyDescent="0.3">
      <c r="I18" s="1"/>
      <c r="M18" s="14">
        <f>M6*input_tables!$Q$12</f>
        <v>28818892571.913242</v>
      </c>
      <c r="N18" s="14">
        <f>N6*input_tables!$Q$11</f>
        <v>15321565923.654301</v>
      </c>
      <c r="O18" s="14">
        <f>O6*input_tables!$Q$10</f>
        <v>11903293157.136213</v>
      </c>
      <c r="P18" s="14">
        <f>P6*input_tables!$Q$9</f>
        <v>11895483336.105612</v>
      </c>
      <c r="Q18" s="14">
        <f>Q6*input_tables!$Q$8</f>
        <v>12022808172.577747</v>
      </c>
      <c r="R18" s="14">
        <f>R6*input_tables!$Q$7</f>
        <v>9841982174.5050507</v>
      </c>
      <c r="S18" s="14">
        <f>S6*input_tables!$Q$6</f>
        <v>7840714261.8433962</v>
      </c>
      <c r="T18" s="14">
        <f>T6*input_tables!$Q$5</f>
        <v>5875464592.9109249</v>
      </c>
      <c r="U18" s="14">
        <f>U6*input_tables!$Q$4</f>
        <v>3811691564.2888403</v>
      </c>
      <c r="V18" s="14">
        <f>V6*input_tables!$Q$3</f>
        <v>1394763837.1721375</v>
      </c>
      <c r="W18" s="89"/>
    </row>
    <row r="19" spans="9:23" x14ac:dyDescent="0.3">
      <c r="M19" s="14">
        <f>M7*input_tables!$Q$12</f>
        <v>24207869760.407127</v>
      </c>
      <c r="N19" s="14">
        <f>N7*input_tables!$Q$11</f>
        <v>12870115375.869614</v>
      </c>
      <c r="O19" s="14">
        <f>O7*input_tables!$Q$10</f>
        <v>9998766251.9944191</v>
      </c>
      <c r="P19" s="14">
        <f>P7*input_tables!$Q$9</f>
        <v>11090814614.606373</v>
      </c>
      <c r="Q19" s="14">
        <f>Q7*input_tables!$Q$8</f>
        <v>12118990637.95837</v>
      </c>
      <c r="R19" s="14">
        <f>R7*input_tables!$Q$7</f>
        <v>9920718031.9010906</v>
      </c>
      <c r="S19" s="14">
        <f>S7*input_tables!$Q$6</f>
        <v>7903439975.9381437</v>
      </c>
      <c r="T19" s="14">
        <f>T7*input_tables!$Q$5</f>
        <v>5922468309.654213</v>
      </c>
      <c r="U19" s="14">
        <f>U7*input_tables!$Q$4</f>
        <v>3842185096.8031511</v>
      </c>
      <c r="V19" s="14">
        <f>V7*input_tables!$Q$3</f>
        <v>1405921947.8695147</v>
      </c>
      <c r="W19" s="89"/>
    </row>
    <row r="20" spans="9:23" x14ac:dyDescent="0.3">
      <c r="M20" s="14">
        <f>M8*input_tables!$Q$12</f>
        <v>19521226174.792309</v>
      </c>
      <c r="N20" s="14">
        <f>N8*input_tables!$Q$11</f>
        <v>10378461039.101257</v>
      </c>
      <c r="O20" s="14">
        <f>O8*input_tables!$Q$10</f>
        <v>8063005105.6082983</v>
      </c>
      <c r="P20" s="14">
        <f>P8*input_tables!$Q$9</f>
        <v>10272509882.629635</v>
      </c>
      <c r="Q20" s="14">
        <f>Q8*input_tables!$Q$8</f>
        <v>12215942563.062037</v>
      </c>
      <c r="R20" s="14">
        <f>R8*input_tables!$Q$7</f>
        <v>10000083776.1563</v>
      </c>
      <c r="S20" s="14">
        <f>S8*input_tables!$Q$6</f>
        <v>7966667495.7456484</v>
      </c>
      <c r="T20" s="14">
        <f>T8*input_tables!$Q$5</f>
        <v>5969848056.1314459</v>
      </c>
      <c r="U20" s="14">
        <f>U8*input_tables!$Q$4</f>
        <v>3872922577.5775762</v>
      </c>
      <c r="V20" s="14">
        <f>V8*input_tables!$Q$3</f>
        <v>1417169323.4524708</v>
      </c>
      <c r="W20" s="89"/>
    </row>
    <row r="21" spans="9:23" x14ac:dyDescent="0.3">
      <c r="M21" s="14">
        <f>M9*input_tables!$Q$12</f>
        <v>14758046988.14299</v>
      </c>
      <c r="N21" s="14">
        <f>N9*input_tables!$Q$11</f>
        <v>7846116545.5605526</v>
      </c>
      <c r="O21" s="14">
        <f>O9*input_tables!$Q$10</f>
        <v>6095631859.8398743</v>
      </c>
      <c r="P21" s="14">
        <f>P9*input_tables!$Q$9</f>
        <v>9440402462.8059349</v>
      </c>
      <c r="Q21" s="14">
        <f>Q9*input_tables!$Q$8</f>
        <v>12313670103.566536</v>
      </c>
      <c r="R21" s="14">
        <f>R9*input_tables!$Q$7</f>
        <v>10080084446.365551</v>
      </c>
      <c r="S21" s="14">
        <f>S9*input_tables!$Q$6</f>
        <v>8030400835.7116146</v>
      </c>
      <c r="T21" s="14">
        <f>T9*input_tables!$Q$5</f>
        <v>6017606840.5804987</v>
      </c>
      <c r="U21" s="14">
        <f>U9*input_tables!$Q$4</f>
        <v>3903905958.1981974</v>
      </c>
      <c r="V21" s="14">
        <f>V9*input_tables!$Q$3</f>
        <v>1428506678.0400908</v>
      </c>
      <c r="W21" s="89"/>
    </row>
    <row r="22" spans="9:23" x14ac:dyDescent="0.3">
      <c r="M22" s="14">
        <f>M10*input_tables!$Q$12</f>
        <v>9917407576.032093</v>
      </c>
      <c r="N22" s="14">
        <f>N10*input_tables!$Q$11</f>
        <v>5272590318.6166925</v>
      </c>
      <c r="O22" s="14">
        <f>O10*input_tables!$Q$10</f>
        <v>4096264609.8123946</v>
      </c>
      <c r="P22" s="14">
        <f>P10*input_tables!$Q$9</f>
        <v>8594323883.6325684</v>
      </c>
      <c r="Q22" s="14">
        <f>Q10*input_tables!$Q$8</f>
        <v>12412179464.395069</v>
      </c>
      <c r="R22" s="14">
        <f>R10*input_tables!$Q$7</f>
        <v>10160725121.936476</v>
      </c>
      <c r="S22" s="14">
        <f>S10*input_tables!$Q$6</f>
        <v>8094644042.3973083</v>
      </c>
      <c r="T22" s="14">
        <f>T10*input_tables!$Q$5</f>
        <v>6065747695.3051434</v>
      </c>
      <c r="U22" s="14">
        <f>U10*input_tables!$Q$4</f>
        <v>3935137205.8637834</v>
      </c>
      <c r="V22" s="14">
        <f>V10*input_tables!$Q$3</f>
        <v>1439934731.4644115</v>
      </c>
      <c r="W22" s="89"/>
    </row>
    <row r="23" spans="9:23" x14ac:dyDescent="0.3">
      <c r="M23" s="14">
        <f>M11*input_tables!$Q$12</f>
        <v>4998373418.320178</v>
      </c>
      <c r="N23" s="14">
        <f>N11*input_tables!$Q$11</f>
        <v>2657385520.5828152</v>
      </c>
      <c r="O23" s="14">
        <f>O11*input_tables!$Q$10</f>
        <v>2064517363.3454454</v>
      </c>
      <c r="P23" s="14">
        <f>P11*input_tables!$Q$9</f>
        <v>7734103861.4348068</v>
      </c>
      <c r="Q23" s="14">
        <f>Q11*input_tables!$Q$8</f>
        <v>12511476900.110229</v>
      </c>
      <c r="R23" s="14">
        <f>R11*input_tables!$Q$7</f>
        <v>10242010922.911968</v>
      </c>
      <c r="S23" s="14">
        <f>S11*input_tables!$Q$6</f>
        <v>8159401194.7364874</v>
      </c>
      <c r="T23" s="14">
        <f>T11*input_tables!$Q$5</f>
        <v>6114273676.8675852</v>
      </c>
      <c r="U23" s="14">
        <f>U11*input_tables!$Q$4</f>
        <v>3966618303.510694</v>
      </c>
      <c r="V23" s="14">
        <f>V11*input_tables!$Q$3</f>
        <v>1451454209.3161271</v>
      </c>
      <c r="W23" s="89"/>
    </row>
    <row r="24" spans="9:23" x14ac:dyDescent="0.3">
      <c r="M24" s="14">
        <f>M12*input_tables!$Q$12</f>
        <v>0</v>
      </c>
      <c r="N24" s="14">
        <f>N12*input_tables!$Q$11</f>
        <v>0</v>
      </c>
      <c r="O24" s="14">
        <f>O12*input_tables!$Q$10</f>
        <v>0</v>
      </c>
      <c r="P24" s="14">
        <f>P12*input_tables!$Q$9</f>
        <v>6859570282.1533222</v>
      </c>
      <c r="Q24" s="14">
        <f>Q12*input_tables!$Q$8</f>
        <v>12611568715.311113</v>
      </c>
      <c r="R24" s="14">
        <f>R12*input_tables!$Q$7</f>
        <v>10323947010.295265</v>
      </c>
      <c r="S24" s="14">
        <f>S12*input_tables!$Q$6</f>
        <v>8224676404.2943802</v>
      </c>
      <c r="T24" s="14">
        <f>T12*input_tables!$Q$5</f>
        <v>6163187866.282526</v>
      </c>
      <c r="U24" s="14">
        <f>U12*input_tables!$Q$4</f>
        <v>3998351249.9387798</v>
      </c>
      <c r="V24" s="14">
        <f>V12*input_tables!$Q$3</f>
        <v>1463065842.9906561</v>
      </c>
      <c r="W24" s="89"/>
    </row>
    <row r="25" spans="9:23" x14ac:dyDescent="0.3">
      <c r="M25" s="4"/>
      <c r="N25" s="4"/>
      <c r="O25" s="4"/>
      <c r="P25" s="4"/>
      <c r="Q25" s="4"/>
      <c r="R25" s="4"/>
      <c r="S25" s="4"/>
      <c r="T25" s="4"/>
      <c r="U25" s="4"/>
      <c r="V25" s="4"/>
      <c r="W25" s="30"/>
    </row>
    <row r="26" spans="9:23" x14ac:dyDescent="0.3">
      <c r="M26" s="15" t="s">
        <v>126</v>
      </c>
      <c r="N26" s="4"/>
      <c r="O26" s="4"/>
      <c r="P26" s="4"/>
      <c r="Q26" s="4"/>
      <c r="R26" s="4"/>
      <c r="S26" s="4"/>
      <c r="T26" s="4"/>
      <c r="U26" s="4"/>
      <c r="V26" s="4"/>
      <c r="W26" s="30"/>
    </row>
    <row r="27" spans="9:23" x14ac:dyDescent="0.3">
      <c r="M27" s="13">
        <f>(X3/10-M3)*input_tables!$O$12</f>
        <v>2.2611057717964172E-4</v>
      </c>
      <c r="N27" s="13">
        <f>(X3/10-N3)*input_tables!$Q$11</f>
        <v>6.5527850037344065E-6</v>
      </c>
      <c r="O27" s="13">
        <f>(X3/10-O3)*input_tables!$Q$10</f>
        <v>0</v>
      </c>
      <c r="P27" s="13">
        <f>(X3/10-P3)*input_tables!$Q$9</f>
        <v>0</v>
      </c>
      <c r="Q27" s="13">
        <f>(X3/10-Q3)*input_tables!$Q$8</f>
        <v>0</v>
      </c>
      <c r="R27" s="13">
        <f>(X3/10-R3)*input_tables!$Q$7</f>
        <v>0</v>
      </c>
      <c r="S27" s="13">
        <f>(X3/10-S3)*input_tables!$Q$6</f>
        <v>0</v>
      </c>
      <c r="T27" s="13">
        <f>(X3/10-T3)*input_tables!$Q$5</f>
        <v>0</v>
      </c>
      <c r="U27" s="13">
        <f>(X3/10-U3)*input_tables!$Q$4</f>
        <v>0</v>
      </c>
      <c r="V27" s="13">
        <f>(X3/10-V3)*input_tables!$Q$3</f>
        <v>0</v>
      </c>
      <c r="W27" s="82"/>
    </row>
    <row r="28" spans="9:23" x14ac:dyDescent="0.3">
      <c r="M28" s="13">
        <f>(X4/10-M4)*input_tables!$O$12</f>
        <v>86721303904.85582</v>
      </c>
      <c r="N28" s="13">
        <f>(X4/10-N4)*input_tables!$Q$11</f>
        <v>2513221923.6278968</v>
      </c>
      <c r="O28" s="13">
        <f>(X4/10-O4)*input_tables!$Q$10</f>
        <v>1952516960.4041059</v>
      </c>
      <c r="P28" s="13">
        <f>(X4/10-P4)*input_tables!$Q$9</f>
        <v>878577589.31563532</v>
      </c>
      <c r="Q28" s="13">
        <f>(X4/10-Q4)*input_tables!$Q$8</f>
        <v>0</v>
      </c>
      <c r="R28" s="13">
        <f>(X4/10-R4)*input_tables!$Q$7</f>
        <v>0</v>
      </c>
      <c r="S28" s="13">
        <f>(X4/10-S4)*input_tables!$Q$6</f>
        <v>0</v>
      </c>
      <c r="T28" s="13">
        <f>(X4/10-T4)*input_tables!$Q$5</f>
        <v>0</v>
      </c>
      <c r="U28" s="13">
        <f>(X4/10-U4)*input_tables!$Q$4</f>
        <v>0</v>
      </c>
      <c r="V28" s="13">
        <f>(X4/10-V4)*input_tables!$Q$3</f>
        <v>0</v>
      </c>
      <c r="W28" s="82"/>
    </row>
    <row r="29" spans="9:23" x14ac:dyDescent="0.3">
      <c r="M29" s="13">
        <f>(X5/10-M5)*input_tables!$O$12</f>
        <v>174830148672.189</v>
      </c>
      <c r="N29" s="13">
        <f>(X5/10-N5)*input_tables!$Q$11</f>
        <v>5066655398.0338316</v>
      </c>
      <c r="O29" s="13">
        <f>(X5/10-O5)*input_tables!$Q$10</f>
        <v>3936274192.1746755</v>
      </c>
      <c r="P29" s="13">
        <f>(X5/10-P5)*input_tables!$Q$9</f>
        <v>1771212420.060318</v>
      </c>
      <c r="Q29" s="13">
        <f>(X5/10-Q5)*input_tables!$Q$8</f>
        <v>-1.7139866227035678E-6</v>
      </c>
      <c r="R29" s="13">
        <f>(X5/10-R5)*input_tables!$Q$7</f>
        <v>-1.4030853313009174E-6</v>
      </c>
      <c r="S29" s="13">
        <f>(X5/10-S5)*input_tables!$Q$6</f>
        <v>-1.1177820659147471E-6</v>
      </c>
      <c r="T29" s="13">
        <f>(X5/10-T5)*input_tables!$Q$5</f>
        <v>-8.3761360656049065E-7</v>
      </c>
      <c r="U29" s="13">
        <f>(X5/10-U5)*input_tables!$Q$4</f>
        <v>-5.4339953339389939E-7</v>
      </c>
      <c r="V29" s="13">
        <f>(X5/10-V5)*input_tables!$Q$3</f>
        <v>-1.9883928317149415E-7</v>
      </c>
      <c r="W29" s="82"/>
    </row>
    <row r="30" spans="9:23" x14ac:dyDescent="0.3">
      <c r="M30" s="13">
        <f>(X6/10-M6)*input_tables!$O$12</f>
        <v>264343184792.34991</v>
      </c>
      <c r="N30" s="13">
        <f>(X6/10-N6)*input_tables!$Q$11</f>
        <v>7660782961.8271561</v>
      </c>
      <c r="O30" s="13">
        <f>(X6/10-O6)*input_tables!$Q$10</f>
        <v>5951646578.5681124</v>
      </c>
      <c r="P30" s="13">
        <f>(X6/10-P6)*input_tables!$Q$9</f>
        <v>2678073179.1312022</v>
      </c>
      <c r="Q30" s="13">
        <f>(X6/10-Q6)*input_tables!$Q$8</f>
        <v>0</v>
      </c>
      <c r="R30" s="13">
        <f>(X6/10-R6)*input_tables!$Q$7</f>
        <v>0</v>
      </c>
      <c r="S30" s="13">
        <f>(X6/10-S6)*input_tables!$Q$6</f>
        <v>0</v>
      </c>
      <c r="T30" s="13">
        <f>(X6/10-T6)*input_tables!$Q$5</f>
        <v>0</v>
      </c>
      <c r="U30" s="13">
        <f>(X6/10-U6)*input_tables!$Q$4</f>
        <v>0</v>
      </c>
      <c r="V30" s="13">
        <f>(X6/10-V6)*input_tables!$Q$3</f>
        <v>0</v>
      </c>
      <c r="W30" s="82"/>
    </row>
    <row r="31" spans="9:23" x14ac:dyDescent="0.3">
      <c r="M31" s="13">
        <f>(X7/10-M7)*input_tables!$O$12</f>
        <v>355277240360.91803</v>
      </c>
      <c r="N31" s="13">
        <f>(X7/10-N7)*input_tables!$Q$11</f>
        <v>10296092300.69569</v>
      </c>
      <c r="O31" s="13">
        <f>(X7/10-O7)*input_tables!$Q$10</f>
        <v>7999013001.5955391</v>
      </c>
      <c r="P31" s="13">
        <f>(X7/10-P7)*input_tables!$Q$9</f>
        <v>3599330352.7523336</v>
      </c>
      <c r="Q31" s="13">
        <f>(X7/10-Q7)*input_tables!$Q$8</f>
        <v>-1.7139866227035678E-6</v>
      </c>
      <c r="R31" s="13">
        <f>(X7/10-R7)*input_tables!$Q$7</f>
        <v>-1.4030853313009174E-6</v>
      </c>
      <c r="S31" s="13">
        <f>(X7/10-S7)*input_tables!$Q$6</f>
        <v>-1.1177820659147471E-6</v>
      </c>
      <c r="T31" s="13">
        <f>(X7/10-T7)*input_tables!$Q$5</f>
        <v>-8.3761360656049065E-7</v>
      </c>
      <c r="U31" s="13">
        <f>(X7/10-U7)*input_tables!$Q$4</f>
        <v>-5.4339953339389939E-7</v>
      </c>
      <c r="V31" s="13">
        <f>(X7/10-V7)*input_tables!$Q$3</f>
        <v>-1.9883928317149415E-7</v>
      </c>
      <c r="W31" s="82"/>
    </row>
    <row r="32" spans="9:23" x14ac:dyDescent="0.3">
      <c r="M32" s="13">
        <f>(X8/10-M8)*input_tables!$O$12</f>
        <v>447649322854.75677</v>
      </c>
      <c r="N32" s="13">
        <f>(X8/10-N8)*input_tables!$Q$11</f>
        <v>12973076298.876572</v>
      </c>
      <c r="O32" s="13">
        <f>(X8/10-O8)*input_tables!$Q$10</f>
        <v>10078756382.010382</v>
      </c>
      <c r="P32" s="13">
        <f>(X8/10-P8)*input_tables!$Q$9</f>
        <v>4535156244.4679432</v>
      </c>
      <c r="Q32" s="13">
        <f>(X8/10-Q8)*input_tables!$Q$8</f>
        <v>0</v>
      </c>
      <c r="R32" s="13">
        <f>(X8/10-R8)*input_tables!$Q$7</f>
        <v>0</v>
      </c>
      <c r="S32" s="13">
        <f>(X8/10-S8)*input_tables!$Q$6</f>
        <v>0</v>
      </c>
      <c r="T32" s="13">
        <f>(X8/10-T8)*input_tables!$Q$5</f>
        <v>0</v>
      </c>
      <c r="U32" s="13">
        <f>(X8/10-U8)*input_tables!$Q$4</f>
        <v>0</v>
      </c>
      <c r="V32" s="13">
        <f>(X8/10-V8)*input_tables!$Q$3</f>
        <v>0</v>
      </c>
      <c r="W32" s="82"/>
    </row>
    <row r="33" spans="13:23" x14ac:dyDescent="0.3">
      <c r="M33" s="13">
        <f>(X9/10-M9)*input_tables!$O$12</f>
        <v>541476620925.11377</v>
      </c>
      <c r="N33" s="13">
        <f>(X9/10-N9)*input_tables!$Q$11</f>
        <v>15692233091.121101</v>
      </c>
      <c r="O33" s="13">
        <f>(X9/10-O9)*input_tables!$Q$10</f>
        <v>12191263719.679758</v>
      </c>
      <c r="P33" s="13">
        <f>(X9/10-P9)*input_tables!$Q$9</f>
        <v>5485724993.3084259</v>
      </c>
      <c r="Q33" s="13">
        <f>(X9/10-Q9)*input_tables!$Q$8</f>
        <v>0</v>
      </c>
      <c r="R33" s="13">
        <f>(X9/10-R9)*input_tables!$Q$7</f>
        <v>0</v>
      </c>
      <c r="S33" s="13">
        <f>(X9/10-S9)*input_tables!$Q$6</f>
        <v>0</v>
      </c>
      <c r="T33" s="13">
        <f>(X9/10-T9)*input_tables!$Q$5</f>
        <v>0</v>
      </c>
      <c r="U33" s="13">
        <f>(X9/10-U9)*input_tables!$Q$4</f>
        <v>0</v>
      </c>
      <c r="V33" s="13">
        <f>(X9/10-V9)*input_tables!$Q$3</f>
        <v>0</v>
      </c>
      <c r="W33" s="82"/>
    </row>
    <row r="34" spans="13:23" x14ac:dyDescent="0.3">
      <c r="M34" s="13">
        <f>(X10/10-M10)*input_tables!$O$12</f>
        <v>636776506207.93384</v>
      </c>
      <c r="N34" s="13">
        <f>(X10/10-N10)*input_tables!$Q$11</f>
        <v>18454066115.158417</v>
      </c>
      <c r="O34" s="13">
        <f>(X10/10-O10)*input_tables!$Q$10</f>
        <v>14336926134.343395</v>
      </c>
      <c r="P34" s="13">
        <f>(X10/10-P10)*input_tables!$Q$9</f>
        <v>6451212592.1307058</v>
      </c>
      <c r="Q34" s="13">
        <f>(X10/10-Q10)*input_tables!$Q$8</f>
        <v>-1.7139866227035678E-6</v>
      </c>
      <c r="R34" s="13">
        <f>(X10/10-R10)*input_tables!$Q$7</f>
        <v>-1.4030853313009174E-6</v>
      </c>
      <c r="S34" s="13">
        <f>(X10/10-S10)*input_tables!$Q$6</f>
        <v>-1.1177820659147471E-6</v>
      </c>
      <c r="T34" s="13">
        <f>(X10/10-T10)*input_tables!$Q$5</f>
        <v>-8.3761360656049065E-7</v>
      </c>
      <c r="U34" s="13">
        <f>(X10/10-U10)*input_tables!$Q$4</f>
        <v>-5.4339953339389939E-7</v>
      </c>
      <c r="V34" s="13">
        <f>(X10/10-V10)*input_tables!$Q$3</f>
        <v>-1.9883928317149415E-7</v>
      </c>
      <c r="W34" s="82"/>
    </row>
    <row r="35" spans="13:23" x14ac:dyDescent="0.3">
      <c r="M35" s="13">
        <f>(X11/10-M11)*input_tables!$O$12</f>
        <v>733566535151.53979</v>
      </c>
      <c r="N35" s="13">
        <f>(X11/10-N11)*input_tables!$Q$11</f>
        <v>21259084164.662498</v>
      </c>
      <c r="O35" s="13">
        <f>(X11/10-O11)*input_tables!$Q$10</f>
        <v>16516138906.763592</v>
      </c>
      <c r="P35" s="13">
        <f>(X11/10-P11)*input_tables!$Q$9</f>
        <v>7431796906.1345749</v>
      </c>
      <c r="Q35" s="13">
        <f>(X11/10-Q11)*input_tables!$Q$8</f>
        <v>-1.7139866227035678E-6</v>
      </c>
      <c r="R35" s="13">
        <f>(X11/10-R11)*input_tables!$Q$7</f>
        <v>-1.4030853313009174E-6</v>
      </c>
      <c r="S35" s="13">
        <f>(X11/10-S11)*input_tables!$Q$6</f>
        <v>-1.1177820659147471E-6</v>
      </c>
      <c r="T35" s="13">
        <f>(X11/10-T11)*input_tables!$Q$5</f>
        <v>-8.3761360656049065E-7</v>
      </c>
      <c r="U35" s="13">
        <f>(X11/10-U11)*input_tables!$Q$4</f>
        <v>-5.4339953339389939E-7</v>
      </c>
      <c r="V35" s="13">
        <f>(X11/10-V11)*input_tables!$Q$3</f>
        <v>-1.9883928317149415E-7</v>
      </c>
      <c r="W35" s="82"/>
    </row>
    <row r="36" spans="13:23" x14ac:dyDescent="0.3">
      <c r="M36" s="13">
        <f>(X12/10-M12)*input_tables!$O$12</f>
        <v>831864450861.84631</v>
      </c>
      <c r="N36" s="13">
        <f>(X12/10-N12)*input_tables!$Q$11</f>
        <v>24107801442.727276</v>
      </c>
      <c r="O36" s="13">
        <f>(X12/10-O12)*input_tables!$Q$10</f>
        <v>18729301520.269909</v>
      </c>
      <c r="P36" s="13">
        <f>(X12/10-P12)*input_tables!$Q$9</f>
        <v>8427657691.5566168</v>
      </c>
      <c r="Q36" s="13">
        <f>(X12/10-Q12)*input_tables!$Q$8</f>
        <v>-1.7139866227035678E-6</v>
      </c>
      <c r="R36" s="13">
        <f>(X12/10-R12)*input_tables!$Q$7</f>
        <v>-1.4030853313009174E-6</v>
      </c>
      <c r="S36" s="13">
        <f>(X12/10-S12)*input_tables!$Q$6</f>
        <v>-1.1177820659147471E-6</v>
      </c>
      <c r="T36" s="13">
        <f>(X12/10-T12)*input_tables!$Q$5</f>
        <v>-8.3761360656049065E-7</v>
      </c>
      <c r="U36" s="13">
        <f>(X12/10-U12)*input_tables!$Q$4</f>
        <v>-5.4339953339389939E-7</v>
      </c>
      <c r="V36" s="13">
        <f>(X12/10-V12)*input_tables!$Q$3</f>
        <v>-1.9883928317149415E-7</v>
      </c>
      <c r="W36" s="82"/>
    </row>
    <row r="37" spans="13:23" x14ac:dyDescent="0.3"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6BE9-17CE-42C8-942A-06EE09D540D7}">
  <dimension ref="A4:S49"/>
  <sheetViews>
    <sheetView zoomScale="70" zoomScaleNormal="70" workbookViewId="0">
      <selection activeCell="D9" sqref="D9"/>
    </sheetView>
  </sheetViews>
  <sheetFormatPr defaultRowHeight="14.4" x14ac:dyDescent="0.3"/>
  <cols>
    <col min="1" max="1" width="43.77734375" bestFit="1" customWidth="1"/>
    <col min="2" max="2" width="24.33203125" bestFit="1" customWidth="1"/>
    <col min="3" max="3" width="31.33203125" bestFit="1" customWidth="1"/>
    <col min="4" max="4" width="16.5546875" bestFit="1" customWidth="1"/>
    <col min="19" max="19" width="16.109375" bestFit="1" customWidth="1"/>
  </cols>
  <sheetData>
    <row r="4" spans="1:19" x14ac:dyDescent="0.3">
      <c r="S4" t="s">
        <v>177</v>
      </c>
    </row>
    <row r="5" spans="1:19" x14ac:dyDescent="0.3">
      <c r="A5" t="s">
        <v>149</v>
      </c>
      <c r="R5">
        <v>2022</v>
      </c>
      <c r="S5" s="103">
        <f>model!F4/1000000</f>
        <v>27235.680410863544</v>
      </c>
    </row>
    <row r="6" spans="1:19" x14ac:dyDescent="0.3">
      <c r="B6" t="s">
        <v>148</v>
      </c>
      <c r="C6" t="s">
        <v>155</v>
      </c>
      <c r="D6" t="s">
        <v>154</v>
      </c>
      <c r="R6">
        <v>2023</v>
      </c>
      <c r="S6" s="103">
        <f>model!F5/1000000</f>
        <v>55456.203025383809</v>
      </c>
    </row>
    <row r="7" spans="1:19" x14ac:dyDescent="0.3">
      <c r="A7" s="4" t="s">
        <v>57</v>
      </c>
      <c r="B7" s="8">
        <v>15.14843761920929</v>
      </c>
      <c r="C7" s="8">
        <v>-8.5833852291107178</v>
      </c>
      <c r="D7" s="8">
        <v>29.433999538421631</v>
      </c>
      <c r="R7">
        <v>2024</v>
      </c>
      <c r="S7" s="103">
        <f>model!F6/1000000</f>
        <v>84688.276764124195</v>
      </c>
    </row>
    <row r="8" spans="1:19" x14ac:dyDescent="0.3">
      <c r="A8" s="4" t="s">
        <v>58</v>
      </c>
      <c r="B8" s="6">
        <v>-2.5506713643412072E-8</v>
      </c>
      <c r="C8" s="6">
        <v>1.445257678592819E-8</v>
      </c>
      <c r="D8" s="6">
        <v>-4.9560528842662143E-8</v>
      </c>
      <c r="R8">
        <v>2025</v>
      </c>
      <c r="S8" s="103">
        <f>model!F7/1000000</f>
        <v>114959.25441069264</v>
      </c>
    </row>
    <row r="9" spans="1:19" x14ac:dyDescent="0.3">
      <c r="A9" s="4" t="s">
        <v>59</v>
      </c>
      <c r="B9" s="8">
        <v>97343652.261064768</v>
      </c>
      <c r="C9" s="8">
        <v>176018983.30680585</v>
      </c>
      <c r="D9" s="8">
        <v>233254089.09873736</v>
      </c>
      <c r="R9">
        <v>2026</v>
      </c>
      <c r="S9" s="103">
        <f>model!F8/1000000</f>
        <v>146297.14716304751</v>
      </c>
    </row>
    <row r="10" spans="1:19" x14ac:dyDescent="0.3">
      <c r="A10" s="4" t="s">
        <v>60</v>
      </c>
      <c r="B10" s="6">
        <v>0.35512874999999994</v>
      </c>
      <c r="C10" s="6">
        <v>0.64215180000000005</v>
      </c>
      <c r="D10" s="6">
        <v>0.8509566999999999</v>
      </c>
      <c r="R10">
        <v>2027</v>
      </c>
      <c r="S10" s="103">
        <f>model!F9/1000000</f>
        <v>178730.63950050648</v>
      </c>
    </row>
    <row r="11" spans="1:19" x14ac:dyDescent="0.3">
      <c r="A11" s="4" t="s">
        <v>61</v>
      </c>
      <c r="B11" s="5">
        <v>9734365.226106476</v>
      </c>
      <c r="C11" s="5">
        <v>17601898.330680586</v>
      </c>
      <c r="D11" s="5">
        <v>23325408.909873735</v>
      </c>
      <c r="R11">
        <v>2028</v>
      </c>
      <c r="S11" s="103">
        <f>model!F10/1000000</f>
        <v>212289.10437312161</v>
      </c>
    </row>
    <row r="12" spans="1:19" x14ac:dyDescent="0.3">
      <c r="A12" s="4" t="s">
        <v>62</v>
      </c>
      <c r="B12" s="20">
        <v>3.835232953768445E-2</v>
      </c>
      <c r="C12" s="20">
        <v>6.9349545613576064E-2</v>
      </c>
      <c r="D12" s="20">
        <v>9.1899548489668859E-2</v>
      </c>
      <c r="R12">
        <v>2029</v>
      </c>
      <c r="S12" s="103">
        <f>model!F11/1000000</f>
        <v>247002.61872021441</v>
      </c>
    </row>
    <row r="13" spans="1:19" x14ac:dyDescent="0.3">
      <c r="A13" s="4" t="s">
        <v>63</v>
      </c>
      <c r="B13" s="67">
        <v>864.88837044888248</v>
      </c>
      <c r="C13" s="67">
        <v>837.96340769473068</v>
      </c>
      <c r="D13" s="67">
        <v>789.64699380192587</v>
      </c>
      <c r="R13">
        <v>2030</v>
      </c>
      <c r="S13" s="103">
        <f>model!F12/1000000</f>
        <v>282901.9793250105</v>
      </c>
    </row>
    <row r="14" spans="1:19" x14ac:dyDescent="0.3">
      <c r="A14" s="78" t="s">
        <v>64</v>
      </c>
      <c r="B14" s="68">
        <v>730.0773919579857</v>
      </c>
      <c r="C14" s="80">
        <v>1320.1423748010438</v>
      </c>
      <c r="D14" s="68">
        <v>1749.4056682405303</v>
      </c>
    </row>
    <row r="15" spans="1:19" x14ac:dyDescent="0.3">
      <c r="A15" s="78" t="s">
        <v>145</v>
      </c>
      <c r="B15" s="6">
        <v>-0.15587095756754024</v>
      </c>
      <c r="C15" s="6">
        <v>0.57541768850361363</v>
      </c>
      <c r="D15" s="6">
        <v>1.2154275036464575</v>
      </c>
    </row>
    <row r="17" spans="1:4" ht="15" thickBot="1" x14ac:dyDescent="0.35">
      <c r="A17" s="4" t="s">
        <v>156</v>
      </c>
      <c r="B17" s="81">
        <v>5.7000000000000002E-2</v>
      </c>
      <c r="C17" s="81">
        <v>5.7000000000000002E-2</v>
      </c>
      <c r="D17" s="81">
        <v>5.7000000000000002E-2</v>
      </c>
    </row>
    <row r="18" spans="1:4" ht="15.6" x14ac:dyDescent="0.3">
      <c r="A18" s="104" t="s">
        <v>178</v>
      </c>
      <c r="B18" s="110">
        <v>253814184</v>
      </c>
      <c r="C18" s="110">
        <v>253814184</v>
      </c>
      <c r="D18" s="110">
        <v>253814184</v>
      </c>
    </row>
    <row r="47" spans="1:3" x14ac:dyDescent="0.3">
      <c r="A47" t="s">
        <v>152</v>
      </c>
    </row>
    <row r="48" spans="1:3" x14ac:dyDescent="0.3">
      <c r="B48" t="s">
        <v>151</v>
      </c>
      <c r="C48" t="s">
        <v>150</v>
      </c>
    </row>
    <row r="49" spans="1:3" x14ac:dyDescent="0.3">
      <c r="A49" t="s">
        <v>153</v>
      </c>
      <c r="B49" s="10">
        <v>0.77</v>
      </c>
      <c r="C49" s="10">
        <v>0.99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C54B-3DCA-4A32-8AE0-BAFC94DA3E2B}">
  <dimension ref="A1:K6"/>
  <sheetViews>
    <sheetView workbookViewId="0">
      <selection activeCell="B3" sqref="B3"/>
    </sheetView>
  </sheetViews>
  <sheetFormatPr defaultRowHeight="14.4" x14ac:dyDescent="0.3"/>
  <cols>
    <col min="1" max="1" width="15" bestFit="1" customWidth="1"/>
    <col min="2" max="2" width="20.6640625" bestFit="1" customWidth="1"/>
    <col min="3" max="4" width="19.88671875" bestFit="1" customWidth="1"/>
    <col min="5" max="5" width="18.33203125" bestFit="1" customWidth="1"/>
    <col min="6" max="10" width="17.44140625" bestFit="1" customWidth="1"/>
    <col min="11" max="11" width="16.33203125" bestFit="1" customWidth="1"/>
  </cols>
  <sheetData>
    <row r="1" spans="1:11" ht="15" thickBot="1" x14ac:dyDescent="0.35"/>
    <row r="2" spans="1:11" ht="15" thickBot="1" x14ac:dyDescent="0.35">
      <c r="A2" s="57"/>
      <c r="B2" s="55" t="s">
        <v>46</v>
      </c>
      <c r="C2" s="51" t="s">
        <v>47</v>
      </c>
      <c r="D2" s="51" t="s">
        <v>48</v>
      </c>
      <c r="E2" s="51" t="s">
        <v>49</v>
      </c>
      <c r="F2" s="51" t="s">
        <v>50</v>
      </c>
      <c r="G2" s="51" t="s">
        <v>51</v>
      </c>
      <c r="H2" s="51" t="s">
        <v>52</v>
      </c>
      <c r="I2" s="51" t="s">
        <v>53</v>
      </c>
      <c r="J2" s="51" t="s">
        <v>54</v>
      </c>
      <c r="K2" s="52" t="s">
        <v>55</v>
      </c>
    </row>
    <row r="3" spans="1:11" x14ac:dyDescent="0.3">
      <c r="A3" s="56" t="s">
        <v>65</v>
      </c>
      <c r="B3" s="88">
        <f>model!M3-model!M4+model!M4-model!M5+model!M5-model!M6+model!M6-model!M7+model!M7-model!M8+model!M8-model!M9+model!M9-model!M10+model!M10-model!M11+model!M11-model!M12</f>
        <v>25513909.747199994</v>
      </c>
      <c r="C3" s="88">
        <f>model!N3-model!N4+model!N4-model!N5+model!N5-model!N6+model!N6-model!N7+model!N7-model!N8+model!N8-model!N9+model!N9-model!N10+model!N10-model!N11+model!N11-model!N12</f>
        <v>25513909.747199994</v>
      </c>
      <c r="D3" s="88">
        <f>model!O3-model!O4+model!O4-model!O5+model!O5-model!O6+model!O6-model!O7+model!O7-model!O8+model!O8-model!O9+model!O9-model!O10+model!O10-model!O11+model!O11-model!O12</f>
        <v>25513909.747200001</v>
      </c>
      <c r="E3" s="88">
        <f>model!P3-model!P4+model!P4-model!P5+model!P5-model!P6+model!P6-model!P7+model!P7-model!P8+model!P8-model!P9+model!P9-model!P10+model!P10-model!P11+model!P11-model!P12</f>
        <v>13214338.516993199</v>
      </c>
      <c r="F3" s="88">
        <f>model!Q3-model!Q4+model!Q4-model!Q5+model!Q5-model!Q6+model!Q6-model!Q7+model!Q7-model!Q8+model!Q8-model!Q9+model!Q9-model!Q10+model!Q10-model!Q11+model!Q11-model!Q12</f>
        <v>-1896896.125617899</v>
      </c>
      <c r="G3" s="88">
        <f>model!R3-model!R4+model!R4-model!R5+model!R5-model!R6+model!R6-model!R7+model!R7-model!R8+model!R8-model!R9+model!R9-model!R10+model!R10-model!R11+model!R11-model!R12</f>
        <v>-1896896.125617899</v>
      </c>
      <c r="H3" s="88">
        <f>model!S3-model!S4+model!S4-model!S5+model!S5-model!S6+model!S6-model!S7+model!S7-model!S8+model!S8-model!S9+model!S9-model!S10+model!S10-model!S11+model!S11-model!S12</f>
        <v>-1896896.125617899</v>
      </c>
      <c r="I3" s="88">
        <f>model!T3-model!T4+model!T4-model!T5+model!T5-model!T6+model!T6-model!T7+model!T7-model!T8+model!T8-model!T9+model!T9-model!T10+model!T10-model!T11+model!T11-model!T12</f>
        <v>-1896896.125617899</v>
      </c>
      <c r="J3" s="88">
        <f>model!U3-model!U4+model!U4-model!U5+model!U5-model!U6+model!U6-model!U7+model!U7-model!U8+model!U8-model!U9+model!U9-model!U10+model!U10-model!U11+model!U11-model!U12</f>
        <v>-1896896.125617899</v>
      </c>
      <c r="K3" s="88">
        <f>model!V3-model!V4+model!V4-model!V5+model!V5-model!V6+model!V6-model!V7+model!V7-model!V8+model!V8-model!V9+model!V9-model!V10+model!V10-model!V11+model!V11-model!V12</f>
        <v>-1896896.125617899</v>
      </c>
    </row>
    <row r="4" spans="1:11" x14ac:dyDescent="0.3">
      <c r="A4" s="53" t="s">
        <v>66</v>
      </c>
      <c r="B4" s="44">
        <f>input_tables!Q12</f>
        <v>1654.2834917512409</v>
      </c>
      <c r="C4" s="14">
        <f>input_tables!Q11</f>
        <v>879.49991527370355</v>
      </c>
      <c r="D4" s="14">
        <f>input_tables!Q10</f>
        <v>683.28168121620035</v>
      </c>
      <c r="E4" s="14">
        <f>input_tables!Q9</f>
        <v>557.70808215710349</v>
      </c>
      <c r="F4" s="14">
        <f>input_tables!Q8</f>
        <v>460.09478064333217</v>
      </c>
      <c r="G4" s="14">
        <f>input_tables!Q7</f>
        <v>376.63785071467282</v>
      </c>
      <c r="H4" s="14">
        <f>input_tables!Q6</f>
        <v>300.05233857244718</v>
      </c>
      <c r="I4" s="14">
        <f>input_tables!Q5</f>
        <v>224.8451904288699</v>
      </c>
      <c r="J4" s="14">
        <f>input_tables!Q4</f>
        <v>145.86770153677861</v>
      </c>
      <c r="K4" s="24">
        <f>input_tables!Q3</f>
        <v>53.375513648853158</v>
      </c>
    </row>
    <row r="5" spans="1:11" x14ac:dyDescent="0.3">
      <c r="A5" s="53" t="s">
        <v>67</v>
      </c>
      <c r="B5" s="45">
        <f>B4*input_output!$B$17</f>
        <v>16542.834917512409</v>
      </c>
      <c r="C5" s="43">
        <f>C4*input_output!$B$17</f>
        <v>8794.9991527370348</v>
      </c>
      <c r="D5" s="43">
        <f>D4*input_output!$B$17</f>
        <v>6832.8168121620038</v>
      </c>
      <c r="E5" s="43">
        <f>E4*input_output!$B$17</f>
        <v>5577.0808215710349</v>
      </c>
      <c r="F5" s="43">
        <f>F4*input_output!$B$17</f>
        <v>4600.9478064333216</v>
      </c>
      <c r="G5" s="43">
        <f>G4*input_output!$B$17</f>
        <v>3766.3785071467282</v>
      </c>
      <c r="H5" s="43">
        <f>H4*input_output!$B$17</f>
        <v>3000.5233857244721</v>
      </c>
      <c r="I5" s="43">
        <f>I4*input_output!$B$17</f>
        <v>2248.4519042886991</v>
      </c>
      <c r="J5" s="43">
        <f>J4*input_output!$B$17</f>
        <v>1458.6770153677862</v>
      </c>
      <c r="K5" s="46">
        <f>K4*input_output!$B$17</f>
        <v>533.75513648853155</v>
      </c>
    </row>
    <row r="6" spans="1:11" ht="15" thickBot="1" x14ac:dyDescent="0.35">
      <c r="A6" s="54" t="s">
        <v>68</v>
      </c>
      <c r="B6" s="47">
        <f>B5*B3</f>
        <v>422072397048.2403</v>
      </c>
      <c r="C6" s="48">
        <f t="shared" ref="C6:K6" si="0">C5*C3</f>
        <v>224394814609.63312</v>
      </c>
      <c r="D6" s="48">
        <f t="shared" si="0"/>
        <v>174331871464.65219</v>
      </c>
      <c r="E6" s="49">
        <f t="shared" si="0"/>
        <v>73697433912.870193</v>
      </c>
      <c r="F6" s="49">
        <f t="shared" si="0"/>
        <v>-8727520068.1935387</v>
      </c>
      <c r="G6" s="49">
        <f t="shared" si="0"/>
        <v>-7144428797.8171549</v>
      </c>
      <c r="H6" s="49">
        <f t="shared" si="0"/>
        <v>-5691681185.2066517</v>
      </c>
      <c r="I6" s="49">
        <f t="shared" si="0"/>
        <v>-4265079705.8834205</v>
      </c>
      <c r="J6" s="49">
        <f t="shared" si="0"/>
        <v>-2766958778.9790344</v>
      </c>
      <c r="K6" s="50">
        <f t="shared" si="0"/>
        <v>-1012478050.4337484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1D75-59A7-47D8-A570-EC931B500035}">
  <dimension ref="A1:N17"/>
  <sheetViews>
    <sheetView topLeftCell="A6" workbookViewId="0">
      <selection activeCell="H19" sqref="H19"/>
    </sheetView>
  </sheetViews>
  <sheetFormatPr defaultRowHeight="14.4" x14ac:dyDescent="0.3"/>
  <cols>
    <col min="1" max="1" width="11.33203125" customWidth="1"/>
    <col min="2" max="2" width="13" customWidth="1"/>
    <col min="3" max="3" width="7.44140625" customWidth="1"/>
    <col min="4" max="4" width="7.6640625" customWidth="1"/>
    <col min="5" max="5" width="10.109375" bestFit="1" customWidth="1"/>
    <col min="6" max="6" width="6.6640625" customWidth="1"/>
    <col min="7" max="7" width="7.109375" customWidth="1"/>
    <col min="8" max="8" width="7" customWidth="1"/>
    <col min="10" max="11" width="7.5546875" customWidth="1"/>
    <col min="12" max="12" width="7.33203125" customWidth="1"/>
    <col min="13" max="13" width="7" customWidth="1"/>
    <col min="14" max="14" width="33" customWidth="1"/>
  </cols>
  <sheetData>
    <row r="1" spans="1:14" ht="57" x14ac:dyDescent="0.3">
      <c r="A1" s="69" t="s">
        <v>69</v>
      </c>
      <c r="B1" s="70" t="s">
        <v>70</v>
      </c>
      <c r="C1" s="70" t="s">
        <v>71</v>
      </c>
      <c r="D1" s="70" t="s">
        <v>72</v>
      </c>
      <c r="E1" s="70" t="s">
        <v>73</v>
      </c>
      <c r="F1" s="70" t="s">
        <v>74</v>
      </c>
      <c r="G1" s="70" t="s">
        <v>75</v>
      </c>
      <c r="H1" s="70" t="s">
        <v>76</v>
      </c>
      <c r="I1" s="70" t="s">
        <v>77</v>
      </c>
      <c r="J1" s="70" t="s">
        <v>78</v>
      </c>
      <c r="K1" s="70" t="s">
        <v>79</v>
      </c>
      <c r="L1" s="70" t="s">
        <v>80</v>
      </c>
      <c r="M1" s="70" t="s">
        <v>81</v>
      </c>
      <c r="N1" t="s">
        <v>82</v>
      </c>
    </row>
    <row r="2" spans="1:14" ht="39.75" customHeight="1" x14ac:dyDescent="0.3">
      <c r="A2" s="71" t="s">
        <v>83</v>
      </c>
      <c r="B2" s="72" t="str">
        <f>[5]Sheet1!T2 &amp;" " &amp;[5]Sheet1!V2 &amp; ", " &amp; [5]Sheet1!Y2</f>
        <v>BMW X3, 2016</v>
      </c>
      <c r="C2" s="72">
        <f>[5]Sheet1!H2</f>
        <v>9086</v>
      </c>
      <c r="D2" s="74">
        <f>[5]Sheet1!L2</f>
        <v>453.52912259286899</v>
      </c>
      <c r="E2" s="74">
        <f>D2*10</f>
        <v>4535.2912259286895</v>
      </c>
      <c r="F2" s="74">
        <f>[5]Sheet1!AN2/12</f>
        <v>72.56780912265468</v>
      </c>
      <c r="G2" s="74">
        <f>C2*0.03/12</f>
        <v>22.715</v>
      </c>
      <c r="H2" s="72">
        <v>23000</v>
      </c>
      <c r="I2" s="72" t="s">
        <v>84</v>
      </c>
      <c r="J2" s="72">
        <v>50000</v>
      </c>
      <c r="K2" s="73">
        <f>J2-H2-E2</f>
        <v>22464.70877407131</v>
      </c>
      <c r="L2" s="76">
        <f>IF(K2&lt;0, 0,PMT(5%/12,72,K2))</f>
        <v>-361.79262206552431</v>
      </c>
      <c r="M2" s="76">
        <f>L2+F2+G2</f>
        <v>-266.50981294286964</v>
      </c>
    </row>
    <row r="3" spans="1:14" ht="39.75" customHeight="1" x14ac:dyDescent="0.3">
      <c r="A3" s="71" t="s">
        <v>85</v>
      </c>
      <c r="B3" s="72" t="str">
        <f>[5]Sheet1!T3 &amp;" " &amp;[5]Sheet1!V3 &amp; ", " &amp; [5]Sheet1!Y3</f>
        <v>Buick  Regal (FWD), 2004</v>
      </c>
      <c r="C3" s="72">
        <f>[5]Sheet1!H3</f>
        <v>15000</v>
      </c>
      <c r="D3" s="74">
        <f>[5]Sheet1!L3</f>
        <v>677.08023047211896</v>
      </c>
      <c r="E3" s="74">
        <f t="shared" ref="E3:E13" si="0">D3*10</f>
        <v>6770.80230472119</v>
      </c>
      <c r="F3" s="74">
        <f>[5]Sheet1!AN3/12</f>
        <v>104.95683961526834</v>
      </c>
      <c r="G3" s="74">
        <f t="shared" ref="G3:G13" si="1">C3*0.03/12</f>
        <v>37.5</v>
      </c>
      <c r="H3" s="72">
        <v>5000</v>
      </c>
      <c r="I3" s="72" t="s">
        <v>86</v>
      </c>
      <c r="J3" s="72">
        <v>39490</v>
      </c>
      <c r="K3" s="73">
        <f t="shared" ref="K3:K11" si="2">J3-H3-E3</f>
        <v>27719.19769527881</v>
      </c>
      <c r="L3" s="76">
        <f t="shared" ref="L3:L11" si="3">IF(K3&lt;0, 0,PMT(5%/12,72,K3))</f>
        <v>-446.415812311911</v>
      </c>
      <c r="M3" s="76">
        <f t="shared" ref="M3:M13" si="4">L3+F3+G3</f>
        <v>-303.95897269664266</v>
      </c>
    </row>
    <row r="4" spans="1:14" ht="39.75" customHeight="1" x14ac:dyDescent="0.3">
      <c r="A4" s="71" t="s">
        <v>87</v>
      </c>
      <c r="B4" s="72" t="str">
        <f>[5]Sheet1!T4 &amp;" " &amp;[5]Sheet1!V4 &amp; ", " &amp; [5]Sheet1!Y4</f>
        <v>Ford Taurus X, 2014</v>
      </c>
      <c r="C4" s="72">
        <f>[5]Sheet1!H4</f>
        <v>40000</v>
      </c>
      <c r="D4" s="74">
        <f>[5]Sheet1!L4</f>
        <v>1370.09035818083</v>
      </c>
      <c r="E4" s="74">
        <f t="shared" si="0"/>
        <v>13700.903581808299</v>
      </c>
      <c r="F4" s="74">
        <f>[5]Sheet1!AN4/12</f>
        <v>188.79654845404391</v>
      </c>
      <c r="G4" s="74">
        <f t="shared" si="1"/>
        <v>100</v>
      </c>
      <c r="H4" s="72">
        <v>15000</v>
      </c>
      <c r="I4" s="72" t="s">
        <v>86</v>
      </c>
      <c r="J4" s="72">
        <v>39490</v>
      </c>
      <c r="K4" s="73">
        <f t="shared" si="2"/>
        <v>10789.096418191701</v>
      </c>
      <c r="L4" s="76">
        <f t="shared" si="3"/>
        <v>-173.75767129287874</v>
      </c>
      <c r="M4" s="76">
        <f t="shared" si="4"/>
        <v>115.03887716116517</v>
      </c>
    </row>
    <row r="5" spans="1:14" ht="39.75" customHeight="1" x14ac:dyDescent="0.3">
      <c r="A5" s="71" t="s">
        <v>88</v>
      </c>
      <c r="B5" s="72" t="str">
        <f>[5]Sheet1!T5 &amp;" " &amp;[5]Sheet1!V5 &amp; ", " &amp; [5]Sheet1!Y5</f>
        <v>Hyundai Santa Fe, 2015</v>
      </c>
      <c r="C5" s="72">
        <f>[5]Sheet1!H5</f>
        <v>25000</v>
      </c>
      <c r="D5" s="74">
        <f>[5]Sheet1!L5</f>
        <v>1181.0332971902999</v>
      </c>
      <c r="E5" s="74">
        <f t="shared" si="0"/>
        <v>11810.332971902999</v>
      </c>
      <c r="F5" s="74">
        <f>[5]Sheet1!AN5/12</f>
        <v>167.68212334066394</v>
      </c>
      <c r="G5" s="74">
        <f t="shared" si="1"/>
        <v>62.5</v>
      </c>
      <c r="H5" s="72">
        <v>16000</v>
      </c>
      <c r="I5" s="72" t="s">
        <v>89</v>
      </c>
      <c r="J5" s="72">
        <v>37390</v>
      </c>
      <c r="K5" s="73">
        <f t="shared" si="2"/>
        <v>9579.6670280970011</v>
      </c>
      <c r="L5" s="76">
        <f t="shared" si="3"/>
        <v>-154.27989240662393</v>
      </c>
      <c r="M5" s="76">
        <f t="shared" si="4"/>
        <v>75.902230934040006</v>
      </c>
    </row>
    <row r="6" spans="1:14" ht="39.75" customHeight="1" x14ac:dyDescent="0.3">
      <c r="A6" s="71" t="s">
        <v>90</v>
      </c>
      <c r="B6" s="72" t="str">
        <f>[5]Sheet1!T6 &amp;" " &amp;[5]Sheet1!V6 &amp; ", " &amp; [5]Sheet1!Y6</f>
        <v>Chevrolet T-10 Pickup, 2000</v>
      </c>
      <c r="C6" s="72">
        <f>[5]Sheet1!H6</f>
        <v>5000</v>
      </c>
      <c r="D6" s="74">
        <f>[5]Sheet1!L6</f>
        <v>221.645898932699</v>
      </c>
      <c r="E6" s="74">
        <f t="shared" si="0"/>
        <v>2216.4589893269899</v>
      </c>
      <c r="F6" s="74">
        <f>[5]Sheet1!AN6/12</f>
        <v>32.540388537056856</v>
      </c>
      <c r="G6" s="74">
        <f t="shared" si="1"/>
        <v>12.5</v>
      </c>
      <c r="H6" s="74">
        <v>5000</v>
      </c>
      <c r="I6" s="74" t="s">
        <v>91</v>
      </c>
      <c r="J6" s="72">
        <v>39974</v>
      </c>
      <c r="K6" s="73">
        <f t="shared" si="2"/>
        <v>32757.541010673009</v>
      </c>
      <c r="L6" s="76">
        <f t="shared" si="3"/>
        <v>-527.55799213160606</v>
      </c>
      <c r="M6" s="76">
        <f t="shared" si="4"/>
        <v>-482.5176035945492</v>
      </c>
    </row>
    <row r="7" spans="1:14" ht="39.75" customHeight="1" x14ac:dyDescent="0.3">
      <c r="A7" s="71" t="s">
        <v>92</v>
      </c>
      <c r="B7" s="72" t="str">
        <f>[5]Sheet1!T7 &amp;" " &amp;[5]Sheet1!V7 &amp; ", " &amp; [5]Sheet1!Y7</f>
        <v>Toyota Highlander, 2005</v>
      </c>
      <c r="C7" s="72">
        <f>[5]Sheet1!H7</f>
        <v>10000</v>
      </c>
      <c r="D7" s="74">
        <f>[5]Sheet1!L7</f>
        <v>467.53035891408098</v>
      </c>
      <c r="E7" s="74">
        <f t="shared" si="0"/>
        <v>4675.3035891408099</v>
      </c>
      <c r="F7" s="74">
        <f>[5]Sheet1!AN7/12</f>
        <v>65.707495859050212</v>
      </c>
      <c r="G7" s="74">
        <f t="shared" si="1"/>
        <v>25</v>
      </c>
      <c r="H7" s="74">
        <v>9000</v>
      </c>
      <c r="I7" s="74" t="s">
        <v>84</v>
      </c>
      <c r="J7" s="72">
        <v>51990</v>
      </c>
      <c r="K7" s="73">
        <f t="shared" si="2"/>
        <v>38314.696410859193</v>
      </c>
      <c r="L7" s="76">
        <f t="shared" si="3"/>
        <v>-617.05560564082293</v>
      </c>
      <c r="M7" s="76">
        <f t="shared" si="4"/>
        <v>-526.34810978177268</v>
      </c>
    </row>
    <row r="8" spans="1:14" ht="39.75" customHeight="1" x14ac:dyDescent="0.3">
      <c r="A8" s="71" t="s">
        <v>85</v>
      </c>
      <c r="B8" s="72" t="str">
        <f>[5]Sheet1!T8 &amp;" " &amp;[5]Sheet1!V8 &amp; ", " &amp; [5]Sheet1!Y8</f>
        <v>Nissan Sentra, 2015</v>
      </c>
      <c r="C8" s="72">
        <f>[5]Sheet1!H8</f>
        <v>21000</v>
      </c>
      <c r="D8" s="74">
        <f>[5]Sheet1!L8</f>
        <v>616.64711147996104</v>
      </c>
      <c r="E8" s="74">
        <f t="shared" si="0"/>
        <v>6166.4711147996104</v>
      </c>
      <c r="F8" s="74">
        <f>[5]Sheet1!AN8/12</f>
        <v>85.255745433712079</v>
      </c>
      <c r="G8" s="74">
        <f t="shared" si="1"/>
        <v>52.5</v>
      </c>
      <c r="H8" s="74">
        <v>10000</v>
      </c>
      <c r="I8" s="74" t="s">
        <v>93</v>
      </c>
      <c r="J8" s="72">
        <v>36500</v>
      </c>
      <c r="K8" s="73">
        <f t="shared" si="2"/>
        <v>20333.528885200391</v>
      </c>
      <c r="L8" s="76">
        <f t="shared" si="3"/>
        <v>-327.47011346581968</v>
      </c>
      <c r="M8" s="76">
        <f t="shared" si="4"/>
        <v>-189.71436803210759</v>
      </c>
    </row>
    <row r="9" spans="1:14" ht="39.75" customHeight="1" x14ac:dyDescent="0.3">
      <c r="A9" s="71" t="s">
        <v>94</v>
      </c>
      <c r="B9" s="72" t="str">
        <f>[5]Sheet1!T9 &amp;" " &amp;[5]Sheet1!V9 &amp; ", " &amp; [5]Sheet1!Y9</f>
        <v>Lincoln MKX, 2013</v>
      </c>
      <c r="C9" s="72">
        <f>[5]Sheet1!H9</f>
        <v>6000</v>
      </c>
      <c r="D9" s="74">
        <f>[5]Sheet1!L9</f>
        <v>303.36419113554803</v>
      </c>
      <c r="E9" s="74">
        <f t="shared" si="0"/>
        <v>3033.6419113554803</v>
      </c>
      <c r="F9" s="74">
        <f>[5]Sheet1!AN9/12</f>
        <v>39.087633349506625</v>
      </c>
      <c r="G9" s="74">
        <f t="shared" si="1"/>
        <v>15</v>
      </c>
      <c r="H9" s="74">
        <v>15000</v>
      </c>
      <c r="I9" s="74" t="s">
        <v>84</v>
      </c>
      <c r="J9" s="72">
        <v>50000</v>
      </c>
      <c r="K9" s="73">
        <f t="shared" si="2"/>
        <v>31966.35808864452</v>
      </c>
      <c r="L9" s="76">
        <f t="shared" si="3"/>
        <v>-514.8160444494473</v>
      </c>
      <c r="M9" s="76">
        <f t="shared" si="4"/>
        <v>-460.72841109994067</v>
      </c>
    </row>
    <row r="10" spans="1:14" ht="39.75" customHeight="1" x14ac:dyDescent="0.3">
      <c r="A10" s="71" t="s">
        <v>95</v>
      </c>
      <c r="B10" s="72" t="str">
        <f>[5]Sheet1!T10 &amp;" " &amp;[5]Sheet1!V10 &amp; ", " &amp; [5]Sheet1!Y10</f>
        <v>Toyota Tacoma, 2010</v>
      </c>
      <c r="C10" s="72">
        <f>[5]Sheet1!H10</f>
        <v>45000</v>
      </c>
      <c r="D10" s="74">
        <f>[5]Sheet1!L10</f>
        <v>2335.0126876181598</v>
      </c>
      <c r="E10" s="74">
        <f t="shared" si="0"/>
        <v>23350.126876181599</v>
      </c>
      <c r="F10" s="74">
        <f>[5]Sheet1!AN10/12</f>
        <v>342.80905020094184</v>
      </c>
      <c r="G10" s="74">
        <f t="shared" si="1"/>
        <v>112.5</v>
      </c>
      <c r="H10" s="74">
        <v>18000</v>
      </c>
      <c r="I10" s="74" t="s">
        <v>91</v>
      </c>
      <c r="J10" s="72">
        <v>39974</v>
      </c>
      <c r="K10" s="73">
        <f t="shared" si="2"/>
        <v>-1376.1268761815991</v>
      </c>
      <c r="L10" s="76">
        <f>IF(K10&lt;0,0,PMT(5%/12,72,K10))</f>
        <v>0</v>
      </c>
      <c r="M10" s="76">
        <f t="shared" si="4"/>
        <v>455.30905020094184</v>
      </c>
    </row>
    <row r="11" spans="1:14" ht="39.75" customHeight="1" x14ac:dyDescent="0.3">
      <c r="A11" s="71" t="s">
        <v>96</v>
      </c>
      <c r="B11" s="72" t="str">
        <f>[5]Sheet1!T11 &amp;" " &amp;[5]Sheet1!V11 &amp; ", " &amp; [5]Sheet1!Y11</f>
        <v>Audi Q5, 2013</v>
      </c>
      <c r="C11" s="72">
        <f>[5]Sheet1!H11</f>
        <v>5000</v>
      </c>
      <c r="D11" s="74">
        <f>[5]Sheet1!L11</f>
        <v>217.32945009909599</v>
      </c>
      <c r="E11" s="74">
        <f t="shared" si="0"/>
        <v>2173.2945009909599</v>
      </c>
      <c r="F11" s="74">
        <f>[5]Sheet1!AN11/12</f>
        <v>39.697336985809102</v>
      </c>
      <c r="G11" s="74">
        <f t="shared" si="1"/>
        <v>12.5</v>
      </c>
      <c r="H11" s="74">
        <v>15000</v>
      </c>
      <c r="I11" s="74" t="s">
        <v>84</v>
      </c>
      <c r="J11" s="72">
        <v>51990</v>
      </c>
      <c r="K11" s="73">
        <f t="shared" si="2"/>
        <v>34816.70549900904</v>
      </c>
      <c r="L11" s="76">
        <f t="shared" si="3"/>
        <v>-560.72069755510893</v>
      </c>
      <c r="M11" s="76">
        <f t="shared" si="4"/>
        <v>-508.52336056929983</v>
      </c>
    </row>
    <row r="12" spans="1:14" ht="39.75" customHeight="1" x14ac:dyDescent="0.3">
      <c r="A12" s="71" t="s">
        <v>97</v>
      </c>
      <c r="B12" s="72" t="str">
        <f>[5]Sheet1!T14 &amp;" " &amp;[5]Sheet1!V14 &amp; ", " &amp; [5]Sheet1!Y14</f>
        <v>GMC Terrain, 2015</v>
      </c>
      <c r="C12" s="72">
        <f>[5]Sheet1!H14</f>
        <v>4500</v>
      </c>
      <c r="D12" s="74">
        <f>[5]Sheet1!L14</f>
        <v>203.27504720317</v>
      </c>
      <c r="E12" s="74">
        <f t="shared" si="0"/>
        <v>2032.7504720317002</v>
      </c>
      <c r="F12" s="74">
        <f>[5]Sheet1!AN14/12</f>
        <v>27.586117864196883</v>
      </c>
      <c r="G12" s="74">
        <f t="shared" si="1"/>
        <v>11.25</v>
      </c>
      <c r="H12" s="74">
        <v>16000</v>
      </c>
      <c r="I12" s="74" t="s">
        <v>89</v>
      </c>
      <c r="J12" s="72">
        <v>37390</v>
      </c>
      <c r="K12" s="73">
        <f t="shared" ref="K12:K13" si="5">J12-H12-E12</f>
        <v>19357.249527968299</v>
      </c>
      <c r="L12" s="76">
        <f t="shared" ref="L12:L13" si="6">IF(K12&lt;0, 0,PMT(5%/12,72,K12))</f>
        <v>-311.74720015883224</v>
      </c>
      <c r="M12" s="76">
        <f t="shared" si="4"/>
        <v>-272.91108229463538</v>
      </c>
    </row>
    <row r="13" spans="1:14" ht="39.75" customHeight="1" x14ac:dyDescent="0.3">
      <c r="A13" s="71" t="s">
        <v>98</v>
      </c>
      <c r="B13" s="72" t="str">
        <f>[5]Sheet1!T15 &amp;" " &amp;[5]Sheet1!V15 &amp; ", " &amp; [5]Sheet1!Y15</f>
        <v>Nissan Rogue, 2011</v>
      </c>
      <c r="C13" s="72">
        <f>[5]Sheet1!H15</f>
        <v>6000</v>
      </c>
      <c r="D13" s="74">
        <f>[5]Sheet1!L15</f>
        <v>258.937598212164</v>
      </c>
      <c r="E13" s="74">
        <f t="shared" si="0"/>
        <v>2589.3759821216399</v>
      </c>
      <c r="F13" s="74">
        <f>[5]Sheet1!AN15/12</f>
        <v>38.178910314171254</v>
      </c>
      <c r="G13" s="74">
        <f t="shared" si="1"/>
        <v>15</v>
      </c>
      <c r="H13" s="74">
        <v>8000</v>
      </c>
      <c r="I13" s="74" t="s">
        <v>99</v>
      </c>
      <c r="J13" s="72">
        <v>37390</v>
      </c>
      <c r="K13" s="73">
        <f t="shared" si="5"/>
        <v>26800.624017878359</v>
      </c>
      <c r="L13" s="76">
        <f t="shared" si="6"/>
        <v>-431.62224509279542</v>
      </c>
      <c r="M13" s="76">
        <f t="shared" si="4"/>
        <v>-378.44333477862415</v>
      </c>
    </row>
    <row r="14" spans="1:14" ht="39.75" customHeight="1" x14ac:dyDescent="0.3">
      <c r="A14" s="71"/>
      <c r="B14" s="72"/>
      <c r="C14" s="72"/>
      <c r="D14" s="74"/>
      <c r="E14" s="74"/>
      <c r="F14" s="74"/>
      <c r="G14" s="74"/>
      <c r="H14" s="74"/>
      <c r="I14" s="74"/>
      <c r="J14" s="72"/>
      <c r="K14" s="73"/>
      <c r="L14" s="75"/>
      <c r="M14" s="75"/>
    </row>
    <row r="15" spans="1:14" x14ac:dyDescent="0.3">
      <c r="A15" t="s">
        <v>100</v>
      </c>
    </row>
    <row r="16" spans="1:14" x14ac:dyDescent="0.3">
      <c r="A16" t="s">
        <v>101</v>
      </c>
    </row>
    <row r="17" spans="1:1" x14ac:dyDescent="0.3">
      <c r="A17" t="s">
        <v>102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7AE8-4B7D-4D78-AAC0-FCFE80AB3842}">
  <dimension ref="A1:D10"/>
  <sheetViews>
    <sheetView zoomScale="68" workbookViewId="0">
      <selection activeCell="C19" sqref="C19"/>
    </sheetView>
  </sheetViews>
  <sheetFormatPr defaultRowHeight="14.4" x14ac:dyDescent="0.3"/>
  <cols>
    <col min="2" max="2" width="51" bestFit="1" customWidth="1"/>
    <col min="3" max="3" width="15.6640625" bestFit="1" customWidth="1"/>
    <col min="4" max="4" width="29" bestFit="1" customWidth="1"/>
  </cols>
  <sheetData>
    <row r="1" spans="1:4" x14ac:dyDescent="0.3">
      <c r="B1" s="16" t="s">
        <v>127</v>
      </c>
      <c r="C1" s="16" t="s">
        <v>128</v>
      </c>
      <c r="D1" s="16" t="s">
        <v>129</v>
      </c>
    </row>
    <row r="2" spans="1:4" x14ac:dyDescent="0.3">
      <c r="A2">
        <v>1</v>
      </c>
      <c r="B2" t="s">
        <v>130</v>
      </c>
      <c r="C2" s="16"/>
      <c r="D2" s="16"/>
    </row>
    <row r="3" spans="1:4" x14ac:dyDescent="0.3">
      <c r="A3">
        <v>2</v>
      </c>
      <c r="B3" t="s">
        <v>131</v>
      </c>
      <c r="C3" t="s">
        <v>132</v>
      </c>
    </row>
    <row r="4" spans="1:4" x14ac:dyDescent="0.3">
      <c r="A4">
        <v>3</v>
      </c>
      <c r="B4" t="s">
        <v>133</v>
      </c>
      <c r="C4" t="s">
        <v>134</v>
      </c>
    </row>
    <row r="5" spans="1:4" x14ac:dyDescent="0.3">
      <c r="A5">
        <v>4</v>
      </c>
      <c r="B5" t="s">
        <v>135</v>
      </c>
    </row>
    <row r="6" spans="1:4" x14ac:dyDescent="0.3">
      <c r="A6">
        <v>5</v>
      </c>
      <c r="B6" t="s">
        <v>136</v>
      </c>
    </row>
    <row r="7" spans="1:4" x14ac:dyDescent="0.3">
      <c r="A7">
        <v>6</v>
      </c>
      <c r="B7" t="s">
        <v>137</v>
      </c>
    </row>
    <row r="8" spans="1:4" x14ac:dyDescent="0.3">
      <c r="A8">
        <v>7</v>
      </c>
      <c r="B8" t="s">
        <v>138</v>
      </c>
      <c r="D8" t="s">
        <v>139</v>
      </c>
    </row>
    <row r="9" spans="1:4" x14ac:dyDescent="0.3">
      <c r="A9">
        <v>8</v>
      </c>
      <c r="B9" t="s">
        <v>140</v>
      </c>
    </row>
    <row r="10" spans="1:4" x14ac:dyDescent="0.3">
      <c r="A10">
        <v>9</v>
      </c>
      <c r="B10" t="s">
        <v>141</v>
      </c>
      <c r="C10" t="s">
        <v>142</v>
      </c>
      <c r="D10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input_tables</vt:lpstr>
      <vt:lpstr>input_output</vt:lpstr>
      <vt:lpstr>model</vt:lpstr>
      <vt:lpstr>outcome_graphs</vt:lpstr>
      <vt:lpstr>financials</vt:lpstr>
      <vt:lpstr>examples</vt:lpstr>
      <vt:lpstr>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 Envy</dc:creator>
  <cp:keywords/>
  <dc:description/>
  <cp:lastModifiedBy>HP Envy</cp:lastModifiedBy>
  <cp:revision/>
  <dcterms:created xsi:type="dcterms:W3CDTF">2021-05-09T21:41:33Z</dcterms:created>
  <dcterms:modified xsi:type="dcterms:W3CDTF">2021-07-16T16:32:00Z</dcterms:modified>
  <cp:category/>
  <cp:contentStatus/>
</cp:coreProperties>
</file>