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0" yWindow="0" windowWidth="17880" windowHeight="11080"/>
  </bookViews>
  <sheets>
    <sheet name="PAIN Nifty" sheetId="4" r:id="rId1"/>
    <sheet name="PAIN BNF" sheetId="5" r:id="rId2"/>
    <sheet name="Data Nifty" sheetId="2" state="hidden" r:id="rId3"/>
    <sheet name="MAIN OI" sheetId="3" state="hidden" r:id="rId4"/>
    <sheet name="Data BNF" sheetId="6" state="hidden" r:id="rId5"/>
    <sheet name="MAIN OI BNF" sheetId="7" state="hidden" r:id="rId6"/>
  </sheets>
  <definedNames>
    <definedName name="_xlnm._FilterDatabase" localSheetId="3" hidden="1">'MAIN OI'!$E$94:$S$96</definedName>
    <definedName name="optionKeys.jsp?symbolCode__10006_symbol_NIFTY_symbol_NIFTY_instrument___date___segmentLink_17_symbolCount_2_segmentLink_17" localSheetId="2">'Data Nifty'!$C$1:$Y$124</definedName>
    <definedName name="optionKeys.jsp?symbolCode__9999_symbol_BANKNIFTY_symbol_BANKNIFTY_instrument___date___segmentLink_17_symbolCount_2_segmentLink_17" localSheetId="4">'Data BNF'!$C$1:$Y$72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2" l="1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M4" i="7"/>
  <c r="D4" i="7"/>
  <c r="T5" i="7"/>
  <c r="S5" i="7"/>
  <c r="R5" i="7"/>
  <c r="R3" i="7"/>
  <c r="T2" i="7"/>
  <c r="A2" i="6"/>
  <c r="L2" i="7"/>
  <c r="A1" i="6"/>
  <c r="O2" i="7"/>
  <c r="A4" i="6"/>
  <c r="A5" i="6"/>
  <c r="L14" i="7"/>
  <c r="A3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14" i="7"/>
  <c r="N14" i="7"/>
  <c r="L8" i="7"/>
  <c r="L6" i="7"/>
  <c r="A6" i="7"/>
  <c r="B10" i="5"/>
  <c r="J2" i="7"/>
  <c r="L9" i="7"/>
  <c r="B5" i="5"/>
  <c r="L12" i="7"/>
  <c r="B8" i="5"/>
  <c r="L7" i="7"/>
  <c r="B3" i="5"/>
  <c r="L15" i="7"/>
  <c r="B11" i="5"/>
  <c r="A8" i="7"/>
  <c r="L10" i="7"/>
  <c r="B6" i="5"/>
  <c r="L13" i="7"/>
  <c r="B9" i="5"/>
  <c r="M94" i="7"/>
  <c r="A14" i="7"/>
  <c r="L11" i="7"/>
  <c r="B7" i="5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M14" i="7"/>
  <c r="G5" i="5"/>
  <c r="G6" i="5"/>
  <c r="B6" i="7"/>
  <c r="B2" i="5"/>
  <c r="G94" i="7"/>
  <c r="B4" i="5"/>
  <c r="G7" i="5"/>
  <c r="G3" i="5"/>
  <c r="G8" i="5"/>
  <c r="G9" i="5"/>
  <c r="G10" i="5"/>
  <c r="G11" i="5"/>
  <c r="O14" i="7"/>
  <c r="S14" i="7"/>
  <c r="P14" i="7"/>
  <c r="C10" i="5"/>
  <c r="Q14" i="7"/>
  <c r="B8" i="7"/>
  <c r="M8" i="7"/>
  <c r="K8" i="7"/>
  <c r="J8" i="7"/>
  <c r="I8" i="7"/>
  <c r="H8" i="7"/>
  <c r="A4" i="5"/>
  <c r="G8" i="7"/>
  <c r="G6" i="7"/>
  <c r="K6" i="7"/>
  <c r="H6" i="7"/>
  <c r="A2" i="5"/>
  <c r="J6" i="7"/>
  <c r="F6" i="7"/>
  <c r="I6" i="7"/>
  <c r="E6" i="7"/>
  <c r="G14" i="7"/>
  <c r="K14" i="7"/>
  <c r="J14" i="7"/>
  <c r="H14" i="7"/>
  <c r="A10" i="5"/>
  <c r="I14" i="7"/>
  <c r="F94" i="7"/>
  <c r="B7" i="7"/>
  <c r="A7" i="7"/>
  <c r="N94" i="7"/>
  <c r="L16" i="7"/>
  <c r="B12" i="5"/>
  <c r="B15" i="7"/>
  <c r="A15" i="7"/>
  <c r="L94" i="7"/>
  <c r="B13" i="7"/>
  <c r="A13" i="7"/>
  <c r="A12" i="7"/>
  <c r="K94" i="7"/>
  <c r="B12" i="7"/>
  <c r="A9" i="7"/>
  <c r="H94" i="7"/>
  <c r="B9" i="7"/>
  <c r="R14" i="7"/>
  <c r="B10" i="7"/>
  <c r="A10" i="7"/>
  <c r="I94" i="7"/>
  <c r="B11" i="7"/>
  <c r="A11" i="7"/>
  <c r="J94" i="7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M96" i="7"/>
  <c r="T14" i="7"/>
  <c r="N8" i="7"/>
  <c r="R8" i="7"/>
  <c r="P8" i="7"/>
  <c r="C4" i="5"/>
  <c r="Q8" i="7"/>
  <c r="G2" i="5"/>
  <c r="D2" i="5"/>
  <c r="P6" i="7"/>
  <c r="C2" i="5"/>
  <c r="Q6" i="7"/>
  <c r="O6" i="7"/>
  <c r="S6" i="7"/>
  <c r="N6" i="7"/>
  <c r="M6" i="7"/>
  <c r="G12" i="5"/>
  <c r="D6" i="7"/>
  <c r="O8" i="7"/>
  <c r="G4" i="5"/>
  <c r="I9" i="7"/>
  <c r="H9" i="7"/>
  <c r="A5" i="5"/>
  <c r="G9" i="7"/>
  <c r="J9" i="7"/>
  <c r="K9" i="7"/>
  <c r="M12" i="7"/>
  <c r="Q12" i="7"/>
  <c r="P12" i="7"/>
  <c r="C8" i="5"/>
  <c r="O12" i="7"/>
  <c r="N12" i="7"/>
  <c r="G10" i="7"/>
  <c r="K10" i="7"/>
  <c r="H10" i="7"/>
  <c r="A6" i="5"/>
  <c r="J10" i="7"/>
  <c r="I10" i="7"/>
  <c r="P10" i="7"/>
  <c r="C6" i="5"/>
  <c r="Q10" i="7"/>
  <c r="O10" i="7"/>
  <c r="N10" i="7"/>
  <c r="M10" i="7"/>
  <c r="K12" i="7"/>
  <c r="J12" i="7"/>
  <c r="I12" i="7"/>
  <c r="H12" i="7"/>
  <c r="A8" i="5"/>
  <c r="G12" i="7"/>
  <c r="K7" i="7"/>
  <c r="J7" i="7"/>
  <c r="I7" i="7"/>
  <c r="H7" i="7"/>
  <c r="A3" i="5"/>
  <c r="D4" i="5"/>
  <c r="G7" i="7"/>
  <c r="N11" i="7"/>
  <c r="M11" i="7"/>
  <c r="Q11" i="7"/>
  <c r="O11" i="7"/>
  <c r="P11" i="7"/>
  <c r="C7" i="5"/>
  <c r="N7" i="7"/>
  <c r="M7" i="7"/>
  <c r="O7" i="7"/>
  <c r="Q7" i="7"/>
  <c r="P7" i="7"/>
  <c r="C3" i="5"/>
  <c r="I13" i="7"/>
  <c r="H13" i="7"/>
  <c r="A9" i="5"/>
  <c r="G13" i="7"/>
  <c r="J13" i="7"/>
  <c r="K13" i="7"/>
  <c r="Q13" i="7"/>
  <c r="P13" i="7"/>
  <c r="C9" i="5"/>
  <c r="O13" i="7"/>
  <c r="N13" i="7"/>
  <c r="M13" i="7"/>
  <c r="K11" i="7"/>
  <c r="J11" i="7"/>
  <c r="I11" i="7"/>
  <c r="H11" i="7"/>
  <c r="A7" i="5"/>
  <c r="G11" i="7"/>
  <c r="Q9" i="7"/>
  <c r="P9" i="7"/>
  <c r="C5" i="5"/>
  <c r="O9" i="7"/>
  <c r="N9" i="7"/>
  <c r="M9" i="7"/>
  <c r="K15" i="7"/>
  <c r="J15" i="7"/>
  <c r="I15" i="7"/>
  <c r="H15" i="7"/>
  <c r="A11" i="5"/>
  <c r="G15" i="7"/>
  <c r="M15" i="7"/>
  <c r="Q15" i="7"/>
  <c r="P15" i="7"/>
  <c r="C11" i="5"/>
  <c r="O15" i="7"/>
  <c r="N15" i="7"/>
  <c r="S8" i="7"/>
  <c r="E8" i="7"/>
  <c r="G95" i="7"/>
  <c r="D8" i="7"/>
  <c r="F8" i="7"/>
  <c r="O94" i="7"/>
  <c r="B16" i="7"/>
  <c r="A16" i="7"/>
  <c r="L17" i="7"/>
  <c r="B13" i="5"/>
  <c r="M95" i="7"/>
  <c r="E14" i="7"/>
  <c r="F14" i="7"/>
  <c r="D14" i="7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T8" i="7"/>
  <c r="G96" i="7"/>
  <c r="D5" i="5"/>
  <c r="D3" i="5"/>
  <c r="D11" i="5"/>
  <c r="D9" i="5"/>
  <c r="D6" i="5"/>
  <c r="R6" i="7"/>
  <c r="T6" i="7"/>
  <c r="D10" i="5"/>
  <c r="G13" i="5"/>
  <c r="D7" i="5"/>
  <c r="D8" i="5"/>
  <c r="Q16" i="7"/>
  <c r="P16" i="7"/>
  <c r="C12" i="5"/>
  <c r="O16" i="7"/>
  <c r="N16" i="7"/>
  <c r="M16" i="7"/>
  <c r="J16" i="7"/>
  <c r="I16" i="7"/>
  <c r="H16" i="7"/>
  <c r="A12" i="5"/>
  <c r="G16" i="7"/>
  <c r="K16" i="7"/>
  <c r="T7" i="7"/>
  <c r="R7" i="7"/>
  <c r="A17" i="7"/>
  <c r="L18" i="7"/>
  <c r="B14" i="5"/>
  <c r="P94" i="7"/>
  <c r="B17" i="7"/>
  <c r="T11" i="7"/>
  <c r="R11" i="7"/>
  <c r="K96" i="7"/>
  <c r="S12" i="7"/>
  <c r="D11" i="7"/>
  <c r="F11" i="7"/>
  <c r="T15" i="7"/>
  <c r="R15" i="7"/>
  <c r="S11" i="7"/>
  <c r="J96" i="7"/>
  <c r="N96" i="7"/>
  <c r="S15" i="7"/>
  <c r="F12" i="7"/>
  <c r="D12" i="7"/>
  <c r="F96" i="7"/>
  <c r="S7" i="7"/>
  <c r="E13" i="7"/>
  <c r="L95" i="7"/>
  <c r="T10" i="7"/>
  <c r="R10" i="7"/>
  <c r="F15" i="7"/>
  <c r="D15" i="7"/>
  <c r="T12" i="7"/>
  <c r="R12" i="7"/>
  <c r="F95" i="7"/>
  <c r="E7" i="7"/>
  <c r="F7" i="7"/>
  <c r="D7" i="7"/>
  <c r="F9" i="7"/>
  <c r="D9" i="7"/>
  <c r="R9" i="7"/>
  <c r="T9" i="7"/>
  <c r="I96" i="7"/>
  <c r="S10" i="7"/>
  <c r="I95" i="7"/>
  <c r="E10" i="7"/>
  <c r="N95" i="7"/>
  <c r="E15" i="7"/>
  <c r="E11" i="7"/>
  <c r="J95" i="7"/>
  <c r="T13" i="7"/>
  <c r="R13" i="7"/>
  <c r="F13" i="7"/>
  <c r="D13" i="7"/>
  <c r="H96" i="7"/>
  <c r="S9" i="7"/>
  <c r="F10" i="7"/>
  <c r="D10" i="7"/>
  <c r="S13" i="7"/>
  <c r="L96" i="7"/>
  <c r="H95" i="7"/>
  <c r="E9" i="7"/>
  <c r="E12" i="7"/>
  <c r="K95" i="7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G14" i="5"/>
  <c r="D12" i="5"/>
  <c r="Q17" i="7"/>
  <c r="P17" i="7"/>
  <c r="C13" i="5"/>
  <c r="O17" i="7"/>
  <c r="N17" i="7"/>
  <c r="M17" i="7"/>
  <c r="H17" i="7"/>
  <c r="A13" i="5"/>
  <c r="I17" i="7"/>
  <c r="G17" i="7"/>
  <c r="K17" i="7"/>
  <c r="J17" i="7"/>
  <c r="S16" i="7"/>
  <c r="O96" i="7"/>
  <c r="D16" i="7"/>
  <c r="F16" i="7"/>
  <c r="L19" i="7"/>
  <c r="B15" i="5"/>
  <c r="B18" i="7"/>
  <c r="A18" i="7"/>
  <c r="Q94" i="7"/>
  <c r="E16" i="7"/>
  <c r="O95" i="7"/>
  <c r="T16" i="7"/>
  <c r="R16" i="7"/>
  <c r="AA7" i="2"/>
  <c r="AA6" i="2"/>
  <c r="D13" i="5"/>
  <c r="G15" i="5"/>
  <c r="O18" i="7"/>
  <c r="N18" i="7"/>
  <c r="P18" i="7"/>
  <c r="C14" i="5"/>
  <c r="E13" i="5"/>
  <c r="M18" i="7"/>
  <c r="Q18" i="7"/>
  <c r="K18" i="7"/>
  <c r="J18" i="7"/>
  <c r="G18" i="7"/>
  <c r="I18" i="7"/>
  <c r="H18" i="7"/>
  <c r="A14" i="5"/>
  <c r="D14" i="5"/>
  <c r="F17" i="7"/>
  <c r="D17" i="7"/>
  <c r="P95" i="7"/>
  <c r="E17" i="7"/>
  <c r="R17" i="7"/>
  <c r="T17" i="7"/>
  <c r="P96" i="7"/>
  <c r="S17" i="7"/>
  <c r="B19" i="7"/>
  <c r="A19" i="7"/>
  <c r="R94" i="7"/>
  <c r="L20" i="7"/>
  <c r="B16" i="5"/>
  <c r="A3" i="2"/>
  <c r="A4" i="2"/>
  <c r="A5" i="2"/>
  <c r="A1" i="2"/>
  <c r="A2" i="2"/>
  <c r="L2" i="3"/>
  <c r="F13" i="5"/>
  <c r="E8" i="5"/>
  <c r="F8" i="5"/>
  <c r="G16" i="5"/>
  <c r="E4" i="5"/>
  <c r="F4" i="5"/>
  <c r="E9" i="5"/>
  <c r="F9" i="5"/>
  <c r="E12" i="5"/>
  <c r="F12" i="5"/>
  <c r="E14" i="5"/>
  <c r="F14" i="5"/>
  <c r="E11" i="5"/>
  <c r="F11" i="5"/>
  <c r="E5" i="5"/>
  <c r="F5" i="5"/>
  <c r="E10" i="5"/>
  <c r="F10" i="5"/>
  <c r="E2" i="5"/>
  <c r="F2" i="5"/>
  <c r="E3" i="5"/>
  <c r="F3" i="5"/>
  <c r="E7" i="5"/>
  <c r="F7" i="5"/>
  <c r="E6" i="5"/>
  <c r="F6" i="5"/>
  <c r="K19" i="7"/>
  <c r="J19" i="7"/>
  <c r="I19" i="7"/>
  <c r="H19" i="7"/>
  <c r="A15" i="5"/>
  <c r="G19" i="7"/>
  <c r="M19" i="7"/>
  <c r="N19" i="7"/>
  <c r="Q19" i="7"/>
  <c r="P19" i="7"/>
  <c r="C15" i="5"/>
  <c r="E15" i="5"/>
  <c r="O19" i="7"/>
  <c r="Q95" i="7"/>
  <c r="E18" i="7"/>
  <c r="T18" i="7"/>
  <c r="R18" i="7"/>
  <c r="F18" i="7"/>
  <c r="D18" i="7"/>
  <c r="L21" i="7"/>
  <c r="B17" i="5"/>
  <c r="S94" i="7"/>
  <c r="B20" i="7"/>
  <c r="A20" i="7"/>
  <c r="Q96" i="7"/>
  <c r="S18" i="7"/>
  <c r="O2" i="3"/>
  <c r="J2" i="3"/>
  <c r="D15" i="5"/>
  <c r="F15" i="5"/>
  <c r="G17" i="5"/>
  <c r="J20" i="7"/>
  <c r="I20" i="7"/>
  <c r="H20" i="7"/>
  <c r="A16" i="5"/>
  <c r="D16" i="5"/>
  <c r="G20" i="7"/>
  <c r="K20" i="7"/>
  <c r="Q20" i="7"/>
  <c r="P20" i="7"/>
  <c r="C16" i="5"/>
  <c r="O20" i="7"/>
  <c r="N20" i="7"/>
  <c r="M20" i="7"/>
  <c r="R96" i="7"/>
  <c r="S19" i="7"/>
  <c r="B21" i="7"/>
  <c r="A21" i="7"/>
  <c r="R95" i="7"/>
  <c r="E19" i="7"/>
  <c r="D19" i="7"/>
  <c r="F19" i="7"/>
  <c r="T19" i="7"/>
  <c r="R19" i="7"/>
  <c r="M4" i="3"/>
  <c r="D4" i="3"/>
  <c r="B6" i="2"/>
  <c r="A6" i="2"/>
  <c r="E16" i="5"/>
  <c r="F16" i="5"/>
  <c r="H21" i="7"/>
  <c r="A17" i="5"/>
  <c r="G21" i="7"/>
  <c r="K21" i="7"/>
  <c r="I21" i="7"/>
  <c r="E21" i="7"/>
  <c r="J21" i="7"/>
  <c r="Q21" i="7"/>
  <c r="P21" i="7"/>
  <c r="C17" i="5"/>
  <c r="O21" i="7"/>
  <c r="S21" i="7"/>
  <c r="N21" i="7"/>
  <c r="M21" i="7"/>
  <c r="E20" i="7"/>
  <c r="S95" i="7"/>
  <c r="F20" i="7"/>
  <c r="D20" i="7"/>
  <c r="R20" i="7"/>
  <c r="T20" i="7"/>
  <c r="S96" i="7"/>
  <c r="S20" i="7"/>
  <c r="T2" i="3"/>
  <c r="D17" i="5"/>
  <c r="A18" i="5"/>
  <c r="E17" i="5"/>
  <c r="C18" i="5"/>
  <c r="T21" i="7"/>
  <c r="R21" i="7"/>
  <c r="F21" i="7"/>
  <c r="D21" i="7"/>
  <c r="L14" i="3"/>
  <c r="J4" i="5"/>
  <c r="J5" i="5"/>
  <c r="F17" i="5"/>
  <c r="L7" i="3"/>
  <c r="B10" i="4"/>
  <c r="L6" i="3"/>
  <c r="B2" i="4"/>
  <c r="B14" i="3"/>
  <c r="L9" i="3"/>
  <c r="A14" i="3"/>
  <c r="K14" i="3"/>
  <c r="L8" i="3"/>
  <c r="B4" i="4"/>
  <c r="B9" i="3"/>
  <c r="B5" i="4"/>
  <c r="F94" i="3"/>
  <c r="B3" i="4"/>
  <c r="B8" i="3"/>
  <c r="A6" i="3"/>
  <c r="B6" i="3"/>
  <c r="A8" i="3"/>
  <c r="J8" i="3"/>
  <c r="A9" i="3"/>
  <c r="T5" i="3"/>
  <c r="S5" i="3"/>
  <c r="R5" i="3"/>
  <c r="K6" i="3"/>
  <c r="G6" i="3"/>
  <c r="J6" i="3"/>
  <c r="I6" i="3"/>
  <c r="E6" i="3"/>
  <c r="H6" i="3"/>
  <c r="A2" i="4"/>
  <c r="N6" i="3"/>
  <c r="M6" i="3"/>
  <c r="P6" i="3"/>
  <c r="C2" i="4"/>
  <c r="Q6" i="3"/>
  <c r="O6" i="3"/>
  <c r="S6" i="3"/>
  <c r="O14" i="3"/>
  <c r="S14" i="3"/>
  <c r="N14" i="3"/>
  <c r="P14" i="3"/>
  <c r="C10" i="4"/>
  <c r="Q14" i="3"/>
  <c r="M14" i="3"/>
  <c r="M8" i="3"/>
  <c r="M9" i="3"/>
  <c r="P8" i="3"/>
  <c r="C4" i="4"/>
  <c r="P9" i="3"/>
  <c r="C5" i="4"/>
  <c r="N9" i="3"/>
  <c r="O9" i="3"/>
  <c r="O8" i="3"/>
  <c r="Q8" i="3"/>
  <c r="Q9" i="3"/>
  <c r="N8" i="3"/>
  <c r="H14" i="3"/>
  <c r="A10" i="4"/>
  <c r="I14" i="3"/>
  <c r="E14" i="3"/>
  <c r="G14" i="3"/>
  <c r="J14" i="3"/>
  <c r="H8" i="3"/>
  <c r="A4" i="4"/>
  <c r="K9" i="3"/>
  <c r="I8" i="3"/>
  <c r="G9" i="3"/>
  <c r="I9" i="3"/>
  <c r="K8" i="3"/>
  <c r="J9" i="3"/>
  <c r="G8" i="3"/>
  <c r="H9" i="3"/>
  <c r="A5" i="4"/>
  <c r="L10" i="3"/>
  <c r="B6" i="4"/>
  <c r="L11" i="3"/>
  <c r="B7" i="4"/>
  <c r="M94" i="3"/>
  <c r="D2" i="4"/>
  <c r="E9" i="3"/>
  <c r="H95" i="3"/>
  <c r="G96" i="3"/>
  <c r="E8" i="3"/>
  <c r="G95" i="3"/>
  <c r="S9" i="3"/>
  <c r="H96" i="3"/>
  <c r="T6" i="3"/>
  <c r="R6" i="3"/>
  <c r="D6" i="3"/>
  <c r="F6" i="3"/>
  <c r="L12" i="3"/>
  <c r="B8" i="4"/>
  <c r="M96" i="3"/>
  <c r="F8" i="3"/>
  <c r="D8" i="3"/>
  <c r="R9" i="3"/>
  <c r="T9" i="3"/>
  <c r="T14" i="3"/>
  <c r="R14" i="3"/>
  <c r="T8" i="3"/>
  <c r="R8" i="3"/>
  <c r="M95" i="3"/>
  <c r="F9" i="3"/>
  <c r="D9" i="3"/>
  <c r="D14" i="3"/>
  <c r="F14" i="3"/>
  <c r="S8" i="3"/>
  <c r="A10" i="3"/>
  <c r="B10" i="3"/>
  <c r="A11" i="3"/>
  <c r="B11" i="3"/>
  <c r="G8" i="4"/>
  <c r="L13" i="3"/>
  <c r="B9" i="4"/>
  <c r="A12" i="3"/>
  <c r="B12" i="3"/>
  <c r="I10" i="3"/>
  <c r="E10" i="3"/>
  <c r="H10" i="3"/>
  <c r="A6" i="4"/>
  <c r="G10" i="3"/>
  <c r="K10" i="3"/>
  <c r="J10" i="3"/>
  <c r="H11" i="3"/>
  <c r="A7" i="4"/>
  <c r="G11" i="3"/>
  <c r="K11" i="3"/>
  <c r="J11" i="3"/>
  <c r="I11" i="3"/>
  <c r="E11" i="3"/>
  <c r="P11" i="3"/>
  <c r="C7" i="4"/>
  <c r="M11" i="3"/>
  <c r="Q11" i="3"/>
  <c r="O11" i="3"/>
  <c r="N11" i="3"/>
  <c r="O10" i="3"/>
  <c r="P10" i="3"/>
  <c r="C6" i="4"/>
  <c r="N10" i="3"/>
  <c r="M10" i="3"/>
  <c r="Q10" i="3"/>
  <c r="A13" i="3"/>
  <c r="I13" i="3"/>
  <c r="B13" i="3"/>
  <c r="K12" i="3"/>
  <c r="G12" i="3"/>
  <c r="H12" i="3"/>
  <c r="A8" i="4"/>
  <c r="I12" i="3"/>
  <c r="E12" i="3"/>
  <c r="J12" i="3"/>
  <c r="M12" i="3"/>
  <c r="O12" i="3"/>
  <c r="S12" i="3"/>
  <c r="P12" i="3"/>
  <c r="C8" i="4"/>
  <c r="N12" i="3"/>
  <c r="Q12" i="3"/>
  <c r="D11" i="3"/>
  <c r="F11" i="3"/>
  <c r="D10" i="3"/>
  <c r="F10" i="3"/>
  <c r="T10" i="3"/>
  <c r="R10" i="3"/>
  <c r="S11" i="3"/>
  <c r="T11" i="3"/>
  <c r="R11" i="3"/>
  <c r="S10" i="3"/>
  <c r="M13" i="3"/>
  <c r="P13" i="3"/>
  <c r="C9" i="4"/>
  <c r="N13" i="3"/>
  <c r="O13" i="3"/>
  <c r="Q13" i="3"/>
  <c r="R12" i="3"/>
  <c r="T12" i="3"/>
  <c r="F12" i="3"/>
  <c r="D12" i="3"/>
  <c r="H13" i="3"/>
  <c r="A9" i="4"/>
  <c r="K13" i="3"/>
  <c r="J13" i="3"/>
  <c r="G13" i="3"/>
  <c r="E13" i="3"/>
  <c r="D13" i="3"/>
  <c r="F13" i="3"/>
  <c r="R13" i="3"/>
  <c r="T13" i="3"/>
  <c r="S13" i="3"/>
  <c r="G2" i="4"/>
  <c r="G94" i="3"/>
  <c r="H94" i="3"/>
  <c r="G3" i="4"/>
  <c r="I94" i="3"/>
  <c r="J94" i="3"/>
  <c r="G4" i="4"/>
  <c r="I96" i="3"/>
  <c r="I95" i="3"/>
  <c r="K94" i="3"/>
  <c r="L15" i="3"/>
  <c r="B11" i="4"/>
  <c r="G5" i="4"/>
  <c r="A7" i="3"/>
  <c r="B7" i="3"/>
  <c r="N94" i="3"/>
  <c r="L16" i="3"/>
  <c r="B12" i="4"/>
  <c r="J95" i="3"/>
  <c r="B15" i="3"/>
  <c r="L94" i="3"/>
  <c r="A15" i="3"/>
  <c r="J96" i="3"/>
  <c r="G6" i="4"/>
  <c r="O7" i="3"/>
  <c r="M7" i="3"/>
  <c r="P7" i="3"/>
  <c r="C3" i="4"/>
  <c r="N7" i="3"/>
  <c r="Q7" i="3"/>
  <c r="J7" i="3"/>
  <c r="H7" i="3"/>
  <c r="A3" i="4"/>
  <c r="G7" i="3"/>
  <c r="I7" i="3"/>
  <c r="K7" i="3"/>
  <c r="O94" i="3"/>
  <c r="L17" i="3"/>
  <c r="B13" i="4"/>
  <c r="B16" i="3"/>
  <c r="N16" i="3"/>
  <c r="A16" i="3"/>
  <c r="P15" i="3"/>
  <c r="C11" i="4"/>
  <c r="N15" i="3"/>
  <c r="O15" i="3"/>
  <c r="Q15" i="3"/>
  <c r="M15" i="3"/>
  <c r="K96" i="3"/>
  <c r="G15" i="3"/>
  <c r="I15" i="3"/>
  <c r="H15" i="3"/>
  <c r="A11" i="4"/>
  <c r="J15" i="3"/>
  <c r="K15" i="3"/>
  <c r="G7" i="4"/>
  <c r="G9" i="4"/>
  <c r="K95" i="3"/>
  <c r="D7" i="4"/>
  <c r="D6" i="4"/>
  <c r="D4" i="4"/>
  <c r="D10" i="4"/>
  <c r="D5" i="4"/>
  <c r="D3" i="4"/>
  <c r="D8" i="4"/>
  <c r="D9" i="4"/>
  <c r="D11" i="4"/>
  <c r="E7" i="3"/>
  <c r="F95" i="3"/>
  <c r="S7" i="3"/>
  <c r="F96" i="3"/>
  <c r="F7" i="3"/>
  <c r="D7" i="3"/>
  <c r="R7" i="3"/>
  <c r="T7" i="3"/>
  <c r="N96" i="3"/>
  <c r="G10" i="4"/>
  <c r="Q16" i="3"/>
  <c r="M16" i="3"/>
  <c r="P16" i="3"/>
  <c r="C12" i="4"/>
  <c r="O16" i="3"/>
  <c r="G16" i="3"/>
  <c r="K16" i="3"/>
  <c r="H16" i="3"/>
  <c r="A12" i="4"/>
  <c r="D12" i="4"/>
  <c r="J16" i="3"/>
  <c r="I16" i="3"/>
  <c r="P94" i="3"/>
  <c r="L18" i="3"/>
  <c r="B14" i="4"/>
  <c r="G11" i="4"/>
  <c r="A17" i="3"/>
  <c r="B17" i="3"/>
  <c r="N95" i="3"/>
  <c r="D15" i="3"/>
  <c r="F15" i="3"/>
  <c r="R15" i="3"/>
  <c r="T15" i="3"/>
  <c r="S15" i="3"/>
  <c r="L96" i="3"/>
  <c r="E15" i="3"/>
  <c r="L95" i="3"/>
  <c r="Q94" i="3"/>
  <c r="L19" i="3"/>
  <c r="B15" i="4"/>
  <c r="A18" i="3"/>
  <c r="B18" i="3"/>
  <c r="O96" i="3"/>
  <c r="S16" i="3"/>
  <c r="R16" i="3"/>
  <c r="T16" i="3"/>
  <c r="D16" i="3"/>
  <c r="F16" i="3"/>
  <c r="J17" i="3"/>
  <c r="G17" i="3"/>
  <c r="K17" i="3"/>
  <c r="I17" i="3"/>
  <c r="H17" i="3"/>
  <c r="O95" i="3"/>
  <c r="E16" i="3"/>
  <c r="O17" i="3"/>
  <c r="Q17" i="3"/>
  <c r="N17" i="3"/>
  <c r="P17" i="3"/>
  <c r="M17" i="3"/>
  <c r="D13" i="4"/>
  <c r="G15" i="4"/>
  <c r="P96" i="3"/>
  <c r="S17" i="3"/>
  <c r="F17" i="3"/>
  <c r="D17" i="3"/>
  <c r="Q18" i="3"/>
  <c r="N18" i="3"/>
  <c r="M18" i="3"/>
  <c r="O18" i="3"/>
  <c r="P18" i="3"/>
  <c r="C14" i="4"/>
  <c r="E7" i="4"/>
  <c r="G12" i="4"/>
  <c r="R17" i="3"/>
  <c r="T17" i="3"/>
  <c r="R94" i="3"/>
  <c r="L20" i="3"/>
  <c r="B16" i="4"/>
  <c r="A19" i="3"/>
  <c r="B19" i="3"/>
  <c r="P95" i="3"/>
  <c r="E17" i="3"/>
  <c r="K18" i="3"/>
  <c r="H18" i="3"/>
  <c r="A14" i="4"/>
  <c r="D14" i="4"/>
  <c r="J18" i="3"/>
  <c r="G18" i="3"/>
  <c r="I18" i="3"/>
  <c r="E10" i="4"/>
  <c r="E11" i="4"/>
  <c r="E13" i="4"/>
  <c r="E2" i="4"/>
  <c r="E5" i="4"/>
  <c r="E6" i="4"/>
  <c r="E4" i="4"/>
  <c r="E3" i="4"/>
  <c r="E12" i="4"/>
  <c r="E8" i="4"/>
  <c r="E14" i="4"/>
  <c r="E9" i="4"/>
  <c r="G16" i="4"/>
  <c r="L21" i="3"/>
  <c r="B17" i="4"/>
  <c r="S94" i="3"/>
  <c r="A20" i="3"/>
  <c r="B20" i="3"/>
  <c r="G19" i="3"/>
  <c r="J19" i="3"/>
  <c r="I19" i="3"/>
  <c r="K19" i="3"/>
  <c r="H19" i="3"/>
  <c r="A15" i="4"/>
  <c r="R18" i="3"/>
  <c r="T18" i="3"/>
  <c r="Q95" i="3"/>
  <c r="E18" i="3"/>
  <c r="N19" i="3"/>
  <c r="M19" i="3"/>
  <c r="Q19" i="3"/>
  <c r="P19" i="3"/>
  <c r="C15" i="4"/>
  <c r="O19" i="3"/>
  <c r="F18" i="3"/>
  <c r="D18" i="3"/>
  <c r="G13" i="4"/>
  <c r="Q96" i="3"/>
  <c r="S18" i="3"/>
  <c r="E15" i="4"/>
  <c r="D15" i="4"/>
  <c r="G17" i="4"/>
  <c r="S19" i="3"/>
  <c r="R96" i="3"/>
  <c r="E19" i="3"/>
  <c r="R95" i="3"/>
  <c r="P20" i="3"/>
  <c r="C16" i="4"/>
  <c r="E16" i="4"/>
  <c r="M20" i="3"/>
  <c r="Q20" i="3"/>
  <c r="O20" i="3"/>
  <c r="N20" i="3"/>
  <c r="A21" i="3"/>
  <c r="B21" i="3"/>
  <c r="G14" i="4"/>
  <c r="R19" i="3"/>
  <c r="T19" i="3"/>
  <c r="F19" i="3"/>
  <c r="D19" i="3"/>
  <c r="G20" i="3"/>
  <c r="H20" i="3"/>
  <c r="A16" i="4"/>
  <c r="D16" i="4"/>
  <c r="J20" i="3"/>
  <c r="I20" i="3"/>
  <c r="K20" i="3"/>
  <c r="F15" i="4"/>
  <c r="F16" i="4"/>
  <c r="J21" i="3"/>
  <c r="I21" i="3"/>
  <c r="E21" i="3"/>
  <c r="H21" i="3"/>
  <c r="A17" i="4"/>
  <c r="G21" i="3"/>
  <c r="K21" i="3"/>
  <c r="S96" i="3"/>
  <c r="S20" i="3"/>
  <c r="E20" i="3"/>
  <c r="S95" i="3"/>
  <c r="D20" i="3"/>
  <c r="F20" i="3"/>
  <c r="T20" i="3"/>
  <c r="R20" i="3"/>
  <c r="O21" i="3"/>
  <c r="S21" i="3"/>
  <c r="Q21" i="3"/>
  <c r="M21" i="3"/>
  <c r="N21" i="3"/>
  <c r="P21" i="3"/>
  <c r="D17" i="4"/>
  <c r="A18" i="4"/>
  <c r="R3" i="3"/>
  <c r="C17" i="4"/>
  <c r="C18" i="4"/>
  <c r="F21" i="3"/>
  <c r="D21" i="3"/>
  <c r="T21" i="3"/>
  <c r="R21" i="3"/>
  <c r="F10" i="4"/>
  <c r="J4" i="4"/>
  <c r="J5" i="4"/>
  <c r="E17" i="4"/>
  <c r="F17" i="4"/>
  <c r="F13" i="4"/>
  <c r="F12" i="4"/>
  <c r="F4" i="4"/>
  <c r="F5" i="4"/>
  <c r="F2" i="4"/>
  <c r="F14" i="4"/>
  <c r="F11" i="4"/>
  <c r="F3" i="4"/>
  <c r="F6" i="4"/>
  <c r="F9" i="4"/>
  <c r="F8" i="4"/>
  <c r="F7" i="4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s://www.nseindia.com/live_market/dynaContent/live_watch/option_chain/optionKeys.jsp?symbolCode=-10006&amp;symbol=NIFTY&amp;symbol=NIFTY&amp;instrument=-&amp;date=-&amp;segmentLink=17&amp;symbolCount=2&amp;segmentLink=17"/>
  </connection>
  <connection id="2" interval="5" name="Connection1" type="4" refreshedVersion="6" background="1" saveData="1">
    <webPr sourceData="1" parsePre="1" consecutive="1" xl2000="1" url="https://www.nseindia.com/live_market/dynaContent/live_watch/option_chain/optionKeys.jsp?symbolCode=-9999&amp;symbol=BANKNIFTY&amp;symbol=BANKNIFTY&amp;instrument=-&amp;date=-&amp;segmentLink=17&amp;symbolCount=2&amp;segmentLink=17"/>
  </connection>
</connections>
</file>

<file path=xl/sharedStrings.xml><?xml version="1.0" encoding="utf-8"?>
<sst xmlns="http://schemas.openxmlformats.org/spreadsheetml/2006/main" count="1280" uniqueCount="62">
  <si>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</si>
  <si>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</si>
  <si>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</si>
  <si>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</si>
  <si>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</si>
  <si>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</si>
  <si>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</si>
  <si>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</si>
  <si>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</si>
  <si>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</si>
  <si>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</si>
  <si>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</si>
  <si>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</si>
  <si>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</si>
  <si>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</si>
  <si>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</si>
  <si>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</si>
  <si>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</si>
  <si>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</si>
  <si>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</si>
  <si>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</si>
  <si>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CHG in OI &gt; Volume - Better to Sell the strike</t>
  </si>
  <si>
    <t>CHG in OI &lt; Volume - Better to Buy the strike</t>
  </si>
  <si>
    <t>STRIKE</t>
  </si>
  <si>
    <t>CE</t>
  </si>
  <si>
    <t>PE</t>
  </si>
  <si>
    <t>Call OI</t>
  </si>
  <si>
    <t>Strike</t>
  </si>
  <si>
    <t>Put OI</t>
  </si>
  <si>
    <t>Call value</t>
  </si>
  <si>
    <t>Put value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</si>
  <si>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</si>
  <si>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</si>
  <si>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</si>
  <si>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</si>
  <si>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</si>
  <si>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</si>
  <si>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</si>
  <si>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</si>
  <si>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</si>
  <si>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</si>
  <si>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</si>
  <si>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</si>
  <si>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PCR RATIO</t>
  </si>
  <si>
    <t>CURRENT</t>
  </si>
  <si>
    <t>Oversold</t>
  </si>
  <si>
    <t>Overbought</t>
  </si>
  <si>
    <t xml:space="preserve">Strike PCR </t>
  </si>
  <si>
    <t>;;</t>
  </si>
  <si>
    <t xml:space="preserve">View Options Contracts for: </t>
  </si>
  <si>
    <t xml:space="preserve">OR </t>
  </si>
  <si>
    <t>Filter by: Expiry Date</t>
  </si>
  <si>
    <t>Futures contracts</t>
  </si>
  <si>
    <t>Top</t>
  </si>
  <si>
    <t>Note : 10% interest rate is applied while computing implied volatility.</t>
  </si>
  <si>
    <t xml:space="preserve"> Highlighted options are in-the-money.</t>
  </si>
  <si>
    <t>Put Call Ratio</t>
  </si>
  <si>
    <t>Predicted Market Sentiment</t>
  </si>
  <si>
    <t xml:space="preserve">Underlying Index: BANKNIFTY 22536.30  As on May 24, 2017 15:30:29 IST </t>
  </si>
  <si>
    <t>Graph</t>
  </si>
  <si>
    <t>highlighted Highlighted options are in-the-money.</t>
  </si>
  <si>
    <t xml:space="preserve">Underlying Index: NIFTY 10463.20  As on Dec 19, 2017 15:30:30 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</si>
</sst>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[$-409]d/mmm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4"/>
      <color rgb="FFFFFF00"/>
      <name val="Arial"/>
      <family val="2"/>
    </font>
    <font>
      <b/>
      <u/>
      <sz val="14"/>
      <color rgb="FFFFFF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FF00"/>
      <name val="Arial"/>
      <family val="2"/>
    </font>
    <font>
      <b/>
      <sz val="11"/>
      <color theme="9" tint="0.79998168889431442"/>
      <name val="Arial"/>
      <family val="2"/>
    </font>
    <font>
      <b/>
      <sz val="14"/>
      <color theme="0"/>
      <name val="Arial"/>
      <family val="2"/>
    </font>
    <font>
      <b/>
      <sz val="14"/>
      <color theme="3" tint="-0.499984740745262"/>
      <name val="Arial"/>
      <family val="2"/>
    </font>
    <font>
      <b/>
      <u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gradientFill degree="90">
        <stop position="0">
          <color theme="1" tint="0.25098422193060094"/>
        </stop>
        <stop position="1">
          <color theme="1" tint="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/>
      <right/>
      <top style="thin">
        <color theme="9" tint="-0.249977111117893"/>
      </top>
      <bottom style="thin">
        <color rgb="FF00B0F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2" fillId="0" borderId="11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" fontId="7" fillId="2" borderId="0" xfId="1" applyNumberFormat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left" vertical="top"/>
    </xf>
    <xf numFmtId="10" fontId="7" fillId="2" borderId="0" xfId="1" applyNumberFormat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1" fontId="9" fillId="2" borderId="0" xfId="1" applyNumberFormat="1" applyFont="1" applyFill="1" applyBorder="1" applyAlignment="1"/>
    <xf numFmtId="1" fontId="9" fillId="2" borderId="0" xfId="1" applyNumberFormat="1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2" fontId="7" fillId="2" borderId="15" xfId="1" applyNumberFormat="1" applyFont="1" applyFill="1" applyBorder="1" applyAlignment="1">
      <alignment horizontal="left" vertical="center"/>
    </xf>
    <xf numFmtId="10" fontId="7" fillId="2" borderId="16" xfId="1" applyNumberFormat="1" applyFont="1" applyFill="1" applyBorder="1" applyAlignment="1">
      <alignment horizontal="center" vertical="top"/>
    </xf>
    <xf numFmtId="0" fontId="8" fillId="2" borderId="16" xfId="1" applyFont="1" applyFill="1" applyBorder="1" applyAlignment="1">
      <alignment horizontal="left" vertical="top"/>
    </xf>
    <xf numFmtId="10" fontId="7" fillId="2" borderId="16" xfId="1" applyNumberFormat="1" applyFont="1" applyFill="1" applyBorder="1" applyAlignment="1">
      <alignment horizontal="center"/>
    </xf>
    <xf numFmtId="0" fontId="7" fillId="2" borderId="16" xfId="1" applyFont="1" applyFill="1" applyBorder="1" applyAlignment="1">
      <alignment horizontal="left" vertical="center"/>
    </xf>
    <xf numFmtId="1" fontId="9" fillId="2" borderId="16" xfId="1" applyNumberFormat="1" applyFont="1" applyFill="1" applyBorder="1" applyAlignment="1"/>
    <xf numFmtId="1" fontId="9" fillId="2" borderId="16" xfId="1" applyNumberFormat="1" applyFont="1" applyFill="1" applyBorder="1" applyAlignment="1">
      <alignment horizontal="center"/>
    </xf>
    <xf numFmtId="0" fontId="10" fillId="2" borderId="16" xfId="2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2" fontId="7" fillId="2" borderId="0" xfId="1" applyNumberFormat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2" fontId="13" fillId="2" borderId="22" xfId="1" applyNumberFormat="1" applyFont="1" applyFill="1" applyBorder="1" applyAlignment="1">
      <alignment horizontal="center" vertical="center"/>
    </xf>
    <xf numFmtId="10" fontId="14" fillId="2" borderId="22" xfId="1" applyNumberFormat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10" fontId="14" fillId="2" borderId="0" xfId="1" applyNumberFormat="1" applyFont="1" applyFill="1" applyBorder="1" applyAlignment="1">
      <alignment horizontal="center" vertical="center"/>
    </xf>
    <xf numFmtId="0" fontId="14" fillId="2" borderId="22" xfId="1" applyNumberFormat="1" applyFont="1" applyFill="1" applyBorder="1" applyAlignment="1">
      <alignment horizontal="center" vertical="center"/>
    </xf>
    <xf numFmtId="0" fontId="14" fillId="2" borderId="23" xfId="1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3" fillId="2" borderId="24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25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2" fontId="16" fillId="2" borderId="0" xfId="1" applyNumberFormat="1" applyFont="1" applyFill="1" applyBorder="1" applyAlignment="1">
      <alignment horizontal="center"/>
    </xf>
    <xf numFmtId="0" fontId="0" fillId="9" borderId="0" xfId="0" applyFill="1"/>
    <xf numFmtId="2" fontId="0" fillId="0" borderId="0" xfId="0" applyNumberFormat="1"/>
    <xf numFmtId="1" fontId="0" fillId="2" borderId="0" xfId="0" applyNumberFormat="1" applyFont="1" applyFill="1"/>
    <xf numFmtId="1" fontId="11" fillId="2" borderId="0" xfId="1" applyNumberFormat="1" applyFont="1" applyFill="1" applyBorder="1" applyAlignment="1">
      <alignment horizontal="center"/>
    </xf>
    <xf numFmtId="1" fontId="12" fillId="8" borderId="18" xfId="1" applyNumberFormat="1" applyFont="1" applyFill="1" applyBorder="1" applyAlignment="1">
      <alignment horizontal="center" vertical="center"/>
    </xf>
    <xf numFmtId="1" fontId="12" fillId="8" borderId="19" xfId="1" applyNumberFormat="1" applyFont="1" applyFill="1" applyBorder="1" applyAlignment="1">
      <alignment horizontal="center" vertical="center"/>
    </xf>
    <xf numFmtId="1" fontId="12" fillId="8" borderId="20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11" xfId="0" applyFont="1" applyFill="1" applyBorder="1" applyAlignment="1">
      <alignment horizontal="center" vertical="center"/>
    </xf>
    <xf numFmtId="0" fontId="2" fillId="0" borderId="0" xfId="0" applyFont="1"/>
    <xf numFmtId="0" fontId="19" fillId="0" borderId="0" xfId="0" applyFont="1"/>
    <xf numFmtId="22" fontId="3" fillId="2" borderId="0" xfId="0" applyNumberFormat="1" applyFont="1" applyFill="1" applyAlignment="1">
      <alignment horizontal="center" vertical="center"/>
    </xf>
    <xf numFmtId="2" fontId="20" fillId="2" borderId="27" xfId="0" applyNumberFormat="1" applyFont="1" applyFill="1" applyBorder="1" applyAlignment="1">
      <alignment horizontal="center" vertical="center"/>
    </xf>
    <xf numFmtId="22" fontId="21" fillId="11" borderId="27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22" fontId="23" fillId="11" borderId="27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0" fontId="18" fillId="2" borderId="0" xfId="3" applyFont="1" applyFill="1" applyAlignment="1" applyProtection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/>
    <xf numFmtId="3" fontId="0" fillId="0" borderId="11" xfId="0" applyNumberFormat="1" applyBorder="1"/>
    <xf numFmtId="2" fontId="0" fillId="0" borderId="11" xfId="0" applyNumberFormat="1" applyBorder="1"/>
    <xf numFmtId="0" fontId="24" fillId="0" borderId="11" xfId="0" applyFont="1" applyBorder="1" applyAlignment="1">
      <alignment horizontal="center"/>
    </xf>
    <xf numFmtId="4" fontId="0" fillId="0" borderId="0" xfId="0" applyNumberFormat="1"/>
    <xf numFmtId="0" fontId="2" fillId="12" borderId="11" xfId="0" applyFont="1" applyFill="1" applyBorder="1" applyAlignment="1">
      <alignment horizontal="center"/>
    </xf>
    <xf numFmtId="3" fontId="25" fillId="0" borderId="0" xfId="0" applyNumberFormat="1" applyFont="1"/>
    <xf numFmtId="0" fontId="25" fillId="0" borderId="0" xfId="0" applyFont="1"/>
    <xf numFmtId="2" fontId="2" fillId="14" borderId="11" xfId="0" applyNumberFormat="1" applyFont="1" applyFill="1" applyBorder="1"/>
    <xf numFmtId="2" fontId="2" fillId="14" borderId="11" xfId="0" applyNumberFormat="1" applyFont="1" applyFill="1" applyBorder="1" applyAlignment="1">
      <alignment horizontal="right"/>
    </xf>
    <xf numFmtId="0" fontId="20" fillId="13" borderId="11" xfId="0" applyFont="1" applyFill="1" applyBorder="1"/>
    <xf numFmtId="164" fontId="5" fillId="2" borderId="2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22" fontId="22" fillId="11" borderId="28" xfId="0" applyNumberFormat="1" applyFont="1" applyFill="1" applyBorder="1" applyAlignment="1">
      <alignment horizontal="center" vertical="center" wrapText="1"/>
    </xf>
    <xf numFmtId="22" fontId="22" fillId="11" borderId="29" xfId="0" applyNumberFormat="1" applyFont="1" applyFill="1" applyBorder="1" applyAlignment="1">
      <alignment horizontal="center" vertical="center" wrapText="1"/>
    </xf>
    <xf numFmtId="22" fontId="22" fillId="11" borderId="30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4">
    <cellStyle name="%" xfId="1"/>
    <cellStyle name="Hyperlink" xfId="3" builtinId="8"/>
    <cellStyle name="Normal" xfId="0" builtinId="0"/>
    <cellStyle name="Normal 2" xfId="2"/>
  </cellStyles>
  <dxfs count="34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EB-4823-BFB9-8E07FC119DF2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EB-4823-BFB9-8E07FC11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7577112"/>
        <c:axId val="2117580056"/>
        <c:axId val="0"/>
      </c:bar3DChart>
      <c:catAx>
        <c:axId val="211757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7580056"/>
        <c:crosses val="autoZero"/>
        <c:auto val="1"/>
        <c:lblAlgn val="ctr"/>
        <c:lblOffset val="100"/>
        <c:noMultiLvlLbl val="0"/>
      </c:catAx>
      <c:valAx>
        <c:axId val="211758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117577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16-4150-8FBE-A28692F9C41E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16-4150-8FBE-A28692F9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03281720"/>
        <c:axId val="2103284664"/>
        <c:axId val="0"/>
      </c:bar3DChart>
      <c:catAx>
        <c:axId val="210328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03284664"/>
        <c:crosses val="autoZero"/>
        <c:auto val="1"/>
        <c:lblAlgn val="ctr"/>
        <c:lblOffset val="100"/>
        <c:noMultiLvlLbl val="0"/>
      </c:catAx>
      <c:valAx>
        <c:axId val="210328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103281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D8-4FA9-961E-C7B47641893A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D8-4FA9-961E-C7B47641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7628760"/>
        <c:axId val="2117631768"/>
        <c:axId val="0"/>
      </c:bar3DChart>
      <c:catAx>
        <c:axId val="211762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7631768"/>
        <c:crosses val="autoZero"/>
        <c:auto val="1"/>
        <c:lblAlgn val="ctr"/>
        <c:lblOffset val="100"/>
        <c:noMultiLvlLbl val="0"/>
      </c:catAx>
      <c:valAx>
        <c:axId val="211763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117628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4-4E50-BB1F-9C767913B70B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4-4E50-BB1F-9C767913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7665640"/>
        <c:axId val="2117668648"/>
        <c:axId val="0"/>
      </c:bar3DChart>
      <c:catAx>
        <c:axId val="21176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7668648"/>
        <c:crosses val="autoZero"/>
        <c:auto val="1"/>
        <c:lblAlgn val="ctr"/>
        <c:lblOffset val="100"/>
        <c:noMultiLvlLbl val="0"/>
      </c:catAx>
      <c:valAx>
        <c:axId val="211766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117665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tionKeys.jsp?symbolCode=-9999&amp;symbol=BANKNIFTY&amp;symbol=BANKNIFTY&amp;instrument=-&amp;date=-&amp;segmentLink=17&amp;symbolCount=2&amp;segmentLink=17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25"/>
  <sheetViews>
    <sheetView tabSelected="1" workbookViewId="0">
      <selection activeCell="I20" sqref="I20"/>
    </sheetView>
  </sheetViews>
  <sheetFormatPr baseColWidth="10" defaultColWidth="8.83203125" defaultRowHeight="14" x14ac:dyDescent="0"/>
  <cols>
    <col min="1" max="1" width="11.33203125" bestFit="1" customWidth="1"/>
    <col min="2" max="2" width="18.83203125" bestFit="1" customWidth="1"/>
    <col min="3" max="3" width="12.1640625" customWidth="1"/>
    <col min="4" max="4" width="13.83203125" bestFit="1" customWidth="1"/>
    <col min="5" max="6" width="13.83203125" customWidth="1"/>
    <col min="9" max="9" width="24" bestFit="1" customWidth="1"/>
    <col min="10" max="10" width="10.6640625" bestFit="1" customWidth="1"/>
    <col min="11" max="11" width="14.33203125" customWidth="1"/>
  </cols>
  <sheetData>
    <row r="1" spans="1:11">
      <c r="A1" s="82" t="s">
        <v>26</v>
      </c>
      <c r="B1" s="82" t="s">
        <v>27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27</v>
      </c>
    </row>
    <row r="2" spans="1:11">
      <c r="A2" s="78">
        <f>'MAIN OI'!H6</f>
        <v>245700</v>
      </c>
      <c r="B2" s="80">
        <f>'MAIN OI'!L6</f>
        <v>9700</v>
      </c>
      <c r="C2" s="78">
        <f>'MAIN OI'!P6</f>
        <v>2381475</v>
      </c>
      <c r="D2" s="78">
        <f>IFERROR($B2*SUM(A2:$A$2)-SUMPRODUCT($B2:B$2,$A2:A$2),0)</f>
        <v>0</v>
      </c>
      <c r="E2" s="78">
        <f>IFERROR(SUMPRODUCT($B2:B$14,$C2:C$14)-$B2*SUM($C2:C$14),0)</f>
        <v>25742400000</v>
      </c>
      <c r="F2" s="78">
        <f>SUM(D2:E2)</f>
        <v>25742400000</v>
      </c>
      <c r="G2" s="79">
        <f>B2</f>
        <v>9700</v>
      </c>
    </row>
    <row r="3" spans="1:11">
      <c r="A3" s="78">
        <f>'MAIN OI'!H7</f>
        <v>229200</v>
      </c>
      <c r="B3" s="80">
        <f>'MAIN OI'!L7</f>
        <v>9800</v>
      </c>
      <c r="C3" s="78">
        <f>'MAIN OI'!P7</f>
        <v>4252650</v>
      </c>
      <c r="D3" s="78">
        <f>IFERROR($B3*SUM(A$2:$A3)-SUMPRODUCT($B$2:B3,$A$2:A3),0)</f>
        <v>24570000</v>
      </c>
      <c r="E3" s="78">
        <f>IFERROR(SUMPRODUCT($B3:B$14,$C3:C$14)-$B3*SUM($C3:C$14),0)</f>
        <v>21147347500</v>
      </c>
      <c r="F3" s="78">
        <f t="shared" ref="F3:F14" si="0">SUM(D3:E3)</f>
        <v>21171917500</v>
      </c>
      <c r="G3" s="79">
        <f t="shared" ref="G3:G14" si="1">B3</f>
        <v>9800</v>
      </c>
    </row>
    <row r="4" spans="1:11">
      <c r="A4" s="78">
        <f>'MAIN OI'!H8</f>
        <v>265125</v>
      </c>
      <c r="B4" s="80">
        <f>'MAIN OI'!L8</f>
        <v>9900</v>
      </c>
      <c r="C4" s="78">
        <f>'MAIN OI'!P8</f>
        <v>2556225</v>
      </c>
      <c r="D4" s="78">
        <f>IFERROR($B4*SUM(A$2:$A4)-SUMPRODUCT($B$2:B4,$A$2:A4),0)</f>
        <v>72060000</v>
      </c>
      <c r="E4" s="78">
        <f>IFERROR(SUMPRODUCT($B4:B$14,$C4:C$14)-$B4*SUM($C4:C$14),0)</f>
        <v>16977560000</v>
      </c>
      <c r="F4" s="78">
        <f t="shared" si="0"/>
        <v>17049620000</v>
      </c>
      <c r="G4" s="79">
        <f t="shared" si="1"/>
        <v>9900</v>
      </c>
      <c r="I4" s="87" t="s">
        <v>56</v>
      </c>
      <c r="J4" s="85">
        <f>C18/A18</f>
        <v>2.6893456462926593</v>
      </c>
    </row>
    <row r="5" spans="1:11">
      <c r="A5" s="78">
        <f>'MAIN OI'!H9</f>
        <v>2200725</v>
      </c>
      <c r="B5" s="80">
        <f>'MAIN OI'!L9</f>
        <v>10000</v>
      </c>
      <c r="C5" s="78">
        <f>'MAIN OI'!P9</f>
        <v>8299875</v>
      </c>
      <c r="D5" s="78">
        <f>IFERROR($B5*SUM(A$2:$A5)-SUMPRODUCT($B$2:B5,$A$2:A5),0)</f>
        <v>146062500</v>
      </c>
      <c r="E5" s="78">
        <f>IFERROR(SUMPRODUCT($B5:B$14,$C5:C$14)-$B5*SUM($C5:C$14),0)</f>
        <v>13063395000</v>
      </c>
      <c r="F5" s="78">
        <f t="shared" si="0"/>
        <v>13209457500</v>
      </c>
      <c r="G5" s="79">
        <f t="shared" si="1"/>
        <v>10000</v>
      </c>
      <c r="I5" s="87" t="s">
        <v>57</v>
      </c>
      <c r="J5" s="86" t="str">
        <f>IF(J4&gt;1,"Bullish",IF(J4&lt;0.5,"Bearish","Sideways"))</f>
        <v>Bullish</v>
      </c>
    </row>
    <row r="6" spans="1:11">
      <c r="A6" s="78">
        <f>'MAIN OI'!H10</f>
        <v>1290675</v>
      </c>
      <c r="B6" s="80">
        <f>'MAIN OI'!L10</f>
        <v>10100</v>
      </c>
      <c r="C6" s="78">
        <f>'MAIN OI'!P10</f>
        <v>4283550</v>
      </c>
      <c r="D6" s="78">
        <f>IFERROR($B6*SUM(A$2:$A6)-SUMPRODUCT($B$2:B6,$A$2:A6),0)</f>
        <v>440137500</v>
      </c>
      <c r="E6" s="78">
        <f>IFERROR(SUMPRODUCT($B6:B$14,$C6:C$14)-$B6*SUM($C6:C$14),0)</f>
        <v>9979217500</v>
      </c>
      <c r="F6" s="78">
        <f t="shared" si="0"/>
        <v>10419355000</v>
      </c>
      <c r="G6" s="79">
        <f t="shared" si="1"/>
        <v>10100</v>
      </c>
      <c r="I6" s="84"/>
    </row>
    <row r="7" spans="1:11">
      <c r="A7" s="78">
        <f>'MAIN OI'!H11</f>
        <v>1917450</v>
      </c>
      <c r="B7" s="80">
        <f>'MAIN OI'!L11</f>
        <v>10200</v>
      </c>
      <c r="C7" s="78">
        <f>'MAIN OI'!P11</f>
        <v>5084450</v>
      </c>
      <c r="D7" s="78">
        <f>IFERROR($B7*SUM(A$2:$A7)-SUMPRODUCT($B$2:B7,$A$2:A7),0)</f>
        <v>863280000</v>
      </c>
      <c r="E7" s="78">
        <f>IFERROR(SUMPRODUCT($B7:B$14,$C7:C$14)-$B7*SUM($C7:C$14),0)</f>
        <v>7323395000</v>
      </c>
      <c r="F7" s="78">
        <f t="shared" si="0"/>
        <v>8186675000</v>
      </c>
      <c r="G7" s="79">
        <f t="shared" si="1"/>
        <v>10200</v>
      </c>
      <c r="K7" s="1"/>
    </row>
    <row r="8" spans="1:11">
      <c r="A8" s="78">
        <f>'MAIN OI'!H12</f>
        <v>2573700</v>
      </c>
      <c r="B8" s="80">
        <f>'MAIN OI'!L12</f>
        <v>10300</v>
      </c>
      <c r="C8" s="78">
        <f>'MAIN OI'!P12</f>
        <v>4980975</v>
      </c>
      <c r="D8" s="78">
        <f>IFERROR($B8*SUM(A$2:$A8)-SUMPRODUCT($B$2:B8,$A$2:A8),0)</f>
        <v>1478167500</v>
      </c>
      <c r="E8" s="78">
        <f>IFERROR(SUMPRODUCT($B8:B$14,$C8:C$14)-$B8*SUM($C8:C$14),0)</f>
        <v>5176017500</v>
      </c>
      <c r="F8" s="78">
        <f t="shared" si="0"/>
        <v>6654185000</v>
      </c>
      <c r="G8" s="79">
        <f t="shared" si="1"/>
        <v>10300</v>
      </c>
    </row>
    <row r="9" spans="1:11">
      <c r="A9" s="78">
        <f>'MAIN OI'!H13</f>
        <v>3700650</v>
      </c>
      <c r="B9" s="80">
        <f>'MAIN OI'!L13</f>
        <v>10400</v>
      </c>
      <c r="C9" s="78">
        <f>'MAIN OI'!P13</f>
        <v>5173325</v>
      </c>
      <c r="D9" s="78">
        <f>IFERROR($B9*SUM(A$2:$A9)-SUMPRODUCT($B$2:B9,$A$2:A9),0)</f>
        <v>2350425000</v>
      </c>
      <c r="E9" s="78">
        <f>IFERROR(SUMPRODUCT($B9:B$14,$C9:C$14)-$B9*SUM($C9:C$14),0)</f>
        <v>3526737500</v>
      </c>
      <c r="F9" s="78">
        <f t="shared" si="0"/>
        <v>5877162500</v>
      </c>
      <c r="G9" s="79">
        <f t="shared" si="1"/>
        <v>10400</v>
      </c>
      <c r="I9" s="1"/>
    </row>
    <row r="10" spans="1:11">
      <c r="A10" s="78">
        <f>'MAIN OI'!H14</f>
        <v>6250875</v>
      </c>
      <c r="B10" s="80">
        <f>'MAIN OI'!L14</f>
        <v>10500</v>
      </c>
      <c r="C10" s="78">
        <f>'MAIN OI'!P14</f>
        <v>1953650</v>
      </c>
      <c r="D10" s="78">
        <f>IFERROR($B10*SUM(A$2:$A10)-SUMPRODUCT($B$2:B10,$A$2:A10),0)</f>
        <v>3592747500</v>
      </c>
      <c r="E10" s="78">
        <f>IFERROR(SUMPRODUCT($B10:B$14,$C10:C$14)-$B10*SUM($C10:C$14),0)</f>
        <v>2394790000</v>
      </c>
      <c r="F10" s="78">
        <f t="shared" si="0"/>
        <v>5987537500</v>
      </c>
      <c r="G10" s="79">
        <f t="shared" si="1"/>
        <v>10500</v>
      </c>
    </row>
    <row r="11" spans="1:11">
      <c r="A11" s="78">
        <f>'MAIN OI'!H15</f>
        <v>863700</v>
      </c>
      <c r="B11" s="80">
        <f>'MAIN OI'!L15</f>
        <v>10600</v>
      </c>
      <c r="C11" s="78">
        <f>'MAIN OI'!P15</f>
        <v>3289050</v>
      </c>
      <c r="D11" s="78">
        <f>IFERROR($B11*SUM(A$2:$A11)-SUMPRODUCT($B$2:B11,$A$2:A11),0)</f>
        <v>5460157500</v>
      </c>
      <c r="E11" s="78">
        <f>IFERROR(SUMPRODUCT($B11:B$14,$C11:C$14)-$B11*SUM($C11:C$14),0)</f>
        <v>1458207500</v>
      </c>
      <c r="F11" s="78">
        <f t="shared" si="0"/>
        <v>6918365000</v>
      </c>
      <c r="G11" s="79">
        <f t="shared" si="1"/>
        <v>10600</v>
      </c>
    </row>
    <row r="12" spans="1:11">
      <c r="A12" s="78">
        <f>'MAIN OI'!H16</f>
        <v>77625</v>
      </c>
      <c r="B12" s="80">
        <f>'MAIN OI'!L16</f>
        <v>10700</v>
      </c>
      <c r="C12" s="78">
        <f>'MAIN OI'!P16</f>
        <v>1824125</v>
      </c>
      <c r="D12" s="78">
        <f>IFERROR($B12*SUM(A$2:$A12)-SUMPRODUCT($B$2:B12,$A$2:A12),0)</f>
        <v>7413937500</v>
      </c>
      <c r="E12" s="78">
        <f>IFERROR(SUMPRODUCT($B12:B$14,$C12:C$14)-$B12*SUM($C12:C$14),0)</f>
        <v>850530000</v>
      </c>
      <c r="F12" s="78">
        <f t="shared" si="0"/>
        <v>8264467500</v>
      </c>
      <c r="G12" s="79">
        <f t="shared" si="1"/>
        <v>10700</v>
      </c>
    </row>
    <row r="13" spans="1:11">
      <c r="A13" s="78">
        <v>0</v>
      </c>
      <c r="B13" s="80">
        <f>'MAIN OI'!L17</f>
        <v>10800</v>
      </c>
      <c r="C13" s="78">
        <v>0</v>
      </c>
      <c r="D13" s="78">
        <f>IFERROR($B13*SUM(A$2:$A13)-SUMPRODUCT($B$2:B13,$A$2:A13),0)</f>
        <v>9375480000</v>
      </c>
      <c r="E13" s="78">
        <f>IFERROR(SUMPRODUCT($B13:B$14,$C13:C$14)-$B13*SUM($C13:C$14),0)</f>
        <v>425265000</v>
      </c>
      <c r="F13" s="78">
        <f t="shared" si="0"/>
        <v>9800745000</v>
      </c>
      <c r="G13" s="79">
        <f t="shared" si="1"/>
        <v>10800</v>
      </c>
    </row>
    <row r="14" spans="1:11">
      <c r="A14" s="78">
        <f>'MAIN OI'!H18</f>
        <v>229200</v>
      </c>
      <c r="B14" s="80">
        <f>'MAIN OI'!L18</f>
        <v>10900</v>
      </c>
      <c r="C14" s="78">
        <f>'MAIN OI'!P18</f>
        <v>4252650</v>
      </c>
      <c r="D14" s="78">
        <f>IFERROR($B14*SUM(A$2:$A14)-SUMPRODUCT($B$2:B14,$A$2:A14),0)</f>
        <v>11337022500</v>
      </c>
      <c r="E14" s="78">
        <f>IFERROR(SUMPRODUCT($B14:B$14,$C14:C$14)-$B14*SUM($C14:C$14),0)</f>
        <v>0</v>
      </c>
      <c r="F14" s="78">
        <f t="shared" si="0"/>
        <v>11337022500</v>
      </c>
      <c r="G14" s="79">
        <f t="shared" si="1"/>
        <v>10900</v>
      </c>
    </row>
    <row r="15" spans="1:11">
      <c r="A15" s="78">
        <f>'MAIN OI'!H19</f>
        <v>265125</v>
      </c>
      <c r="B15" s="80">
        <f>'MAIN OI'!L19</f>
        <v>11000</v>
      </c>
      <c r="C15" s="78">
        <f>'MAIN OI'!P19</f>
        <v>2556225</v>
      </c>
      <c r="D15" s="78">
        <f>IFERROR($B15*SUM(A$2:$A15)-SUMPRODUCT($B$2:B15,$A$2:A15),0)</f>
        <v>13321485000</v>
      </c>
      <c r="E15" s="78">
        <f>IFERROR(SUMPRODUCT($B$14:B15,$C$14:C15)-$B15*SUM($C$14:C15),0)</f>
        <v>-425265000</v>
      </c>
      <c r="F15" s="78">
        <f t="shared" ref="F15:F17" si="2">SUM(D15:E15)</f>
        <v>12896220000</v>
      </c>
      <c r="G15" s="79">
        <f t="shared" ref="G15:G17" si="3">B15</f>
        <v>11000</v>
      </c>
    </row>
    <row r="16" spans="1:11">
      <c r="A16" s="78">
        <f>'MAIN OI'!H20</f>
        <v>2200725</v>
      </c>
      <c r="B16" s="80">
        <f>'MAIN OI'!L20</f>
        <v>11100</v>
      </c>
      <c r="C16" s="78">
        <f>'MAIN OI'!P20</f>
        <v>8299875</v>
      </c>
      <c r="D16" s="78">
        <f>IFERROR($B16*SUM(A$2:$A16)-SUMPRODUCT($B$2:B16,$A$2:A16),0)</f>
        <v>15332460000</v>
      </c>
      <c r="E16" s="78">
        <f>IFERROR(SUMPRODUCT($B$14:B16,$C$14:C16)-$B16*SUM($C$14:C16),0)</f>
        <v>-1106152500</v>
      </c>
      <c r="F16" s="78">
        <f t="shared" si="2"/>
        <v>14226307500</v>
      </c>
      <c r="G16" s="79">
        <f t="shared" si="3"/>
        <v>11100</v>
      </c>
    </row>
    <row r="17" spans="1:11">
      <c r="A17" s="78">
        <f>'MAIN OI'!H21</f>
        <v>1290675</v>
      </c>
      <c r="B17" s="80">
        <f>'MAIN OI'!L21</f>
        <v>11200</v>
      </c>
      <c r="C17" s="78">
        <f>'MAIN OI'!P21</f>
        <v>4283550</v>
      </c>
      <c r="D17" s="78">
        <f>IFERROR($B17*SUM(A$2:$A17)-SUMPRODUCT($B$2:B17,$A$2:A17),0)</f>
        <v>17563507500</v>
      </c>
      <c r="E17" s="78">
        <f>IFERROR(SUMPRODUCT($B$14:B17,$C$14:C17)-$B17*SUM($C$14:C17),0)</f>
        <v>-2617027500</v>
      </c>
      <c r="F17" s="78">
        <f t="shared" si="2"/>
        <v>14946480000</v>
      </c>
      <c r="G17" s="79">
        <f t="shared" si="3"/>
        <v>11200</v>
      </c>
    </row>
    <row r="18" spans="1:11">
      <c r="A18" s="83">
        <f>SUM(A2:A17)</f>
        <v>23601150</v>
      </c>
      <c r="C18" s="83">
        <f>SUM(C2:C17)</f>
        <v>63471650</v>
      </c>
      <c r="D18" s="1"/>
      <c r="F18" s="1"/>
      <c r="G18" s="57"/>
    </row>
    <row r="21" spans="1:11">
      <c r="B21" s="1"/>
    </row>
    <row r="22" spans="1:11">
      <c r="B22" s="1"/>
    </row>
    <row r="23" spans="1:11" ht="20">
      <c r="A23" s="65"/>
      <c r="B23" s="66"/>
    </row>
    <row r="25" spans="1:11">
      <c r="K25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8" sqref="D28"/>
    </sheetView>
  </sheetViews>
  <sheetFormatPr baseColWidth="10" defaultColWidth="8.83203125" defaultRowHeight="14" x14ac:dyDescent="0"/>
  <cols>
    <col min="1" max="1" width="10.1640625" bestFit="1" customWidth="1"/>
    <col min="2" max="2" width="18.83203125" bestFit="1" customWidth="1"/>
    <col min="3" max="3" width="11.1640625" bestFit="1" customWidth="1"/>
    <col min="4" max="4" width="13.83203125" bestFit="1" customWidth="1"/>
    <col min="5" max="6" width="13.83203125" customWidth="1"/>
    <col min="9" max="9" width="24" bestFit="1" customWidth="1"/>
    <col min="10" max="10" width="10.6640625" bestFit="1" customWidth="1"/>
    <col min="11" max="11" width="14.33203125" customWidth="1"/>
  </cols>
  <sheetData>
    <row r="1" spans="1:11">
      <c r="A1" s="82" t="s">
        <v>26</v>
      </c>
      <c r="B1" s="82" t="s">
        <v>27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27</v>
      </c>
    </row>
    <row r="2" spans="1:11">
      <c r="A2" s="78">
        <f>'MAIN OI BNF'!H6</f>
        <v>2880</v>
      </c>
      <c r="B2" s="80">
        <f>'MAIN OI BNF'!L6</f>
        <v>21700</v>
      </c>
      <c r="C2" s="78">
        <f>'MAIN OI BNF'!P6</f>
        <v>65480</v>
      </c>
      <c r="D2" s="78">
        <f>IFERROR($B2*SUM(A2:$A$2)-SUMPRODUCT($B2:B$2,$A2:A$2),0)</f>
        <v>0</v>
      </c>
      <c r="E2" s="78">
        <f>IFERROR(SUMPRODUCT($B2:B$14,$C2:C$14)-$B2*SUM($C2:C$14),0)</f>
        <v>2858948000</v>
      </c>
      <c r="F2" s="78">
        <f>SUM(D2:E2)</f>
        <v>2858948000</v>
      </c>
      <c r="G2" s="79">
        <f>B2</f>
        <v>21700</v>
      </c>
    </row>
    <row r="3" spans="1:11">
      <c r="A3" s="78">
        <f>'MAIN OI BNF'!H7</f>
        <v>7040</v>
      </c>
      <c r="B3" s="80">
        <f>'MAIN OI BNF'!L7</f>
        <v>21800</v>
      </c>
      <c r="C3" s="78">
        <f>'MAIN OI BNF'!P7</f>
        <v>105040</v>
      </c>
      <c r="D3" s="78">
        <f>IFERROR($B3*SUM(A$2:$A3)-SUMPRODUCT($B$2:B3,$A$2:A3),0)</f>
        <v>288000</v>
      </c>
      <c r="E3" s="78">
        <f>IFERROR(SUMPRODUCT($B3:B$14,$C3:C$14)-$B3*SUM($C3:C$14),0)</f>
        <v>2355116000</v>
      </c>
      <c r="F3" s="78">
        <f t="shared" ref="F3:F17" si="0">SUM(D3:E3)</f>
        <v>2355404000</v>
      </c>
      <c r="G3" s="79">
        <f t="shared" ref="G3:G17" si="1">B3</f>
        <v>21800</v>
      </c>
    </row>
    <row r="4" spans="1:11">
      <c r="A4" s="78">
        <f>'MAIN OI BNF'!H8</f>
        <v>760</v>
      </c>
      <c r="B4" s="80">
        <f>'MAIN OI BNF'!L8</f>
        <v>21900</v>
      </c>
      <c r="C4" s="78">
        <f>'MAIN OI BNF'!P8</f>
        <v>187840</v>
      </c>
      <c r="D4" s="78">
        <f>IFERROR($B4*SUM(A$2:$A4)-SUMPRODUCT($B$2:B4,$A$2:A4),0)</f>
        <v>1280000</v>
      </c>
      <c r="E4" s="78">
        <f>IFERROR(SUMPRODUCT($B4:B$14,$C4:C$14)-$B4*SUM($C4:C$14),0)</f>
        <v>1861788000</v>
      </c>
      <c r="F4" s="78">
        <f t="shared" si="0"/>
        <v>1863068000</v>
      </c>
      <c r="G4" s="79">
        <f t="shared" si="1"/>
        <v>21900</v>
      </c>
      <c r="I4" s="87" t="s">
        <v>56</v>
      </c>
      <c r="J4" s="85">
        <f>C18/A18</f>
        <v>1.0437270421024833</v>
      </c>
    </row>
    <row r="5" spans="1:11">
      <c r="A5" s="78">
        <f>'MAIN OI BNF'!H9</f>
        <v>99360</v>
      </c>
      <c r="B5" s="80">
        <f>'MAIN OI BNF'!L9</f>
        <v>22000</v>
      </c>
      <c r="C5" s="78">
        <f>'MAIN OI BNF'!P9</f>
        <v>1236480</v>
      </c>
      <c r="D5" s="78">
        <f>IFERROR($B5*SUM(A$2:$A5)-SUMPRODUCT($B$2:B5,$A$2:A5),0)</f>
        <v>2348000</v>
      </c>
      <c r="E5" s="78">
        <f>IFERROR(SUMPRODUCT($B5:B$14,$C5:C$14)-$B5*SUM($C5:C$14),0)</f>
        <v>1387244000</v>
      </c>
      <c r="F5" s="78">
        <f t="shared" si="0"/>
        <v>1389592000</v>
      </c>
      <c r="G5" s="79">
        <f t="shared" si="1"/>
        <v>22000</v>
      </c>
      <c r="I5" s="87" t="s">
        <v>57</v>
      </c>
      <c r="J5" s="86" t="str">
        <f>IF(J4&gt;1,"Bullish",IF(J4&lt;0.5,"Bearish","Sideways"))</f>
        <v>Bullish</v>
      </c>
    </row>
    <row r="6" spans="1:11">
      <c r="A6" s="78">
        <f>'MAIN OI BNF'!H10</f>
        <v>2560</v>
      </c>
      <c r="B6" s="80">
        <f>'MAIN OI BNF'!L10</f>
        <v>22100</v>
      </c>
      <c r="C6" s="78">
        <f>'MAIN OI BNF'!P10</f>
        <v>281040</v>
      </c>
      <c r="D6" s="78">
        <f>IFERROR($B6*SUM(A$2:$A6)-SUMPRODUCT($B$2:B6,$A$2:A6),0)</f>
        <v>13352000</v>
      </c>
      <c r="E6" s="78">
        <f>IFERROR(SUMPRODUCT($B6:B$14,$C6:C$14)-$B6*SUM($C6:C$14),0)</f>
        <v>1036348000</v>
      </c>
      <c r="F6" s="78">
        <f t="shared" si="0"/>
        <v>1049700000</v>
      </c>
      <c r="G6" s="79">
        <f t="shared" si="1"/>
        <v>22100</v>
      </c>
    </row>
    <row r="7" spans="1:11">
      <c r="A7" s="78">
        <f>'MAIN OI BNF'!H11</f>
        <v>5600</v>
      </c>
      <c r="B7" s="80">
        <f>'MAIN OI BNF'!L11</f>
        <v>22200</v>
      </c>
      <c r="C7" s="78">
        <f>'MAIN OI BNF'!P11</f>
        <v>842360</v>
      </c>
      <c r="D7" s="78">
        <f>IFERROR($B7*SUM(A$2:$A7)-SUMPRODUCT($B$2:B7,$A$2:A7),0)</f>
        <v>24612000</v>
      </c>
      <c r="E7" s="78">
        <f>IFERROR(SUMPRODUCT($B7:B$14,$C7:C$14)-$B7*SUM($C7:C$14),0)</f>
        <v>713556000</v>
      </c>
      <c r="F7" s="78">
        <f t="shared" si="0"/>
        <v>738168000</v>
      </c>
      <c r="G7" s="79">
        <f t="shared" si="1"/>
        <v>22200</v>
      </c>
      <c r="K7" s="1"/>
    </row>
    <row r="8" spans="1:11">
      <c r="A8" s="78">
        <f>'MAIN OI BNF'!H12</f>
        <v>37120</v>
      </c>
      <c r="B8" s="80">
        <f>'MAIN OI BNF'!L12</f>
        <v>22300</v>
      </c>
      <c r="C8" s="78">
        <f>'MAIN OI BNF'!P12</f>
        <v>428120</v>
      </c>
      <c r="D8" s="78">
        <f>IFERROR($B8*SUM(A$2:$A8)-SUMPRODUCT($B$2:B8,$A$2:A8),0)</f>
        <v>36432000</v>
      </c>
      <c r="E8" s="78">
        <f>IFERROR(SUMPRODUCT($B8:B$14,$C8:C$14)-$B8*SUM($C8:C$14),0)</f>
        <v>475000000</v>
      </c>
      <c r="F8" s="78">
        <f t="shared" si="0"/>
        <v>511432000</v>
      </c>
      <c r="G8" s="79">
        <f t="shared" si="1"/>
        <v>22300</v>
      </c>
    </row>
    <row r="9" spans="1:11">
      <c r="A9" s="78">
        <f>'MAIN OI BNF'!H13</f>
        <v>69600</v>
      </c>
      <c r="B9" s="80">
        <f>'MAIN OI BNF'!L13</f>
        <v>22400</v>
      </c>
      <c r="C9" s="78">
        <f>'MAIN OI BNF'!P13</f>
        <v>374960</v>
      </c>
      <c r="D9" s="78">
        <f>IFERROR($B9*SUM(A$2:$A9)-SUMPRODUCT($B$2:B9,$A$2:A9),0)</f>
        <v>51964000</v>
      </c>
      <c r="E9" s="78">
        <f>IFERROR(SUMPRODUCT($B9:B$14,$C9:C$14)-$B9*SUM($C9:C$14),0)</f>
        <v>279256000</v>
      </c>
      <c r="F9" s="78">
        <f t="shared" si="0"/>
        <v>331220000</v>
      </c>
      <c r="G9" s="79">
        <f t="shared" si="1"/>
        <v>22400</v>
      </c>
      <c r="I9" s="1"/>
    </row>
    <row r="10" spans="1:11">
      <c r="A10" s="78">
        <f>'MAIN OI BNF'!H14</f>
        <v>644120</v>
      </c>
      <c r="B10" s="80">
        <f>'MAIN OI BNF'!L14</f>
        <v>22500</v>
      </c>
      <c r="C10" s="78">
        <f>'MAIN OI BNF'!P14</f>
        <v>967840</v>
      </c>
      <c r="D10" s="78">
        <f>IFERROR($B10*SUM(A$2:$A10)-SUMPRODUCT($B$2:B10,$A$2:A10),0)</f>
        <v>74456000</v>
      </c>
      <c r="E10" s="78">
        <f>IFERROR(SUMPRODUCT($B10:B$14,$C10:C$14)-$B10*SUM($C10:C$14),0)</f>
        <v>121008000</v>
      </c>
      <c r="F10" s="78">
        <f t="shared" si="0"/>
        <v>195464000</v>
      </c>
      <c r="G10" s="79">
        <f t="shared" si="1"/>
        <v>22500</v>
      </c>
    </row>
    <row r="11" spans="1:11">
      <c r="A11" s="78">
        <f>'MAIN OI BNF'!H15</f>
        <v>494320</v>
      </c>
      <c r="B11" s="80">
        <f>'MAIN OI BNF'!L15</f>
        <v>22600</v>
      </c>
      <c r="C11" s="78">
        <f>'MAIN OI BNF'!P15</f>
        <v>268000</v>
      </c>
      <c r="D11" s="78">
        <f>IFERROR($B11*SUM(A$2:$A11)-SUMPRODUCT($B$2:B11,$A$2:A11),0)</f>
        <v>161360000</v>
      </c>
      <c r="E11" s="78">
        <f>IFERROR(SUMPRODUCT($B11:B$14,$C11:C$14)-$B11*SUM($C11:C$14),0)</f>
        <v>59544000</v>
      </c>
      <c r="F11" s="78">
        <f t="shared" si="0"/>
        <v>220904000</v>
      </c>
      <c r="G11" s="79">
        <f t="shared" si="1"/>
        <v>22600</v>
      </c>
    </row>
    <row r="12" spans="1:11">
      <c r="A12" s="78">
        <f>'MAIN OI BNF'!H16</f>
        <v>621480</v>
      </c>
      <c r="B12" s="80">
        <f>'MAIN OI BNF'!L16</f>
        <v>22700</v>
      </c>
      <c r="C12" s="78">
        <f>'MAIN OI BNF'!P16</f>
        <v>170720</v>
      </c>
      <c r="D12" s="78">
        <f>IFERROR($B12*SUM(A$2:$A12)-SUMPRODUCT($B$2:B12,$A$2:A12),0)</f>
        <v>297696000</v>
      </c>
      <c r="E12" s="78">
        <f>IFERROR(SUMPRODUCT($B12:B$14,$C12:C$14)-$B12*SUM($C12:C$14),0)</f>
        <v>24880000</v>
      </c>
      <c r="F12" s="78">
        <f t="shared" si="0"/>
        <v>322576000</v>
      </c>
      <c r="G12" s="79">
        <f t="shared" si="1"/>
        <v>22700</v>
      </c>
    </row>
    <row r="13" spans="1:11">
      <c r="A13" s="78">
        <f>'MAIN OI BNF'!H17</f>
        <v>762600</v>
      </c>
      <c r="B13" s="80">
        <f>'MAIN OI BNF'!L17</f>
        <v>22800</v>
      </c>
      <c r="C13" s="78">
        <f>'MAIN OI BNF'!P17</f>
        <v>103040</v>
      </c>
      <c r="D13" s="78">
        <f>IFERROR($B13*SUM(A$2:$A13)-SUMPRODUCT($B$2:B13,$A$2:A13),0)</f>
        <v>496180000</v>
      </c>
      <c r="E13" s="78">
        <f>IFERROR(SUMPRODUCT($B13:B$14,$C13:C$14)-$B13*SUM($C13:C$14),0)</f>
        <v>7288000</v>
      </c>
      <c r="F13" s="78">
        <f t="shared" si="0"/>
        <v>503468000</v>
      </c>
      <c r="G13" s="79">
        <f t="shared" si="1"/>
        <v>22800</v>
      </c>
    </row>
    <row r="14" spans="1:11">
      <c r="A14" s="78">
        <f>'MAIN OI BNF'!H18</f>
        <v>583080</v>
      </c>
      <c r="B14" s="80">
        <f>'MAIN OI BNF'!L18</f>
        <v>22900</v>
      </c>
      <c r="C14" s="78">
        <f>'MAIN OI BNF'!P18</f>
        <v>72880</v>
      </c>
      <c r="D14" s="78">
        <f>IFERROR($B14*SUM(A$2:$A14)-SUMPRODUCT($B$2:B14,$A$2:A14),0)</f>
        <v>770924000</v>
      </c>
      <c r="E14" s="78">
        <f>IFERROR(SUMPRODUCT($B14:B$14,$C14:C$14)-$B14*SUM($C14:C$14),0)</f>
        <v>0</v>
      </c>
      <c r="F14" s="78">
        <f t="shared" si="0"/>
        <v>770924000</v>
      </c>
      <c r="G14" s="79">
        <f t="shared" si="1"/>
        <v>22900</v>
      </c>
    </row>
    <row r="15" spans="1:11">
      <c r="A15" s="78">
        <f>'MAIN OI BNF'!H19</f>
        <v>1081880</v>
      </c>
      <c r="B15" s="80">
        <f>'MAIN OI BNF'!L19</f>
        <v>23000</v>
      </c>
      <c r="C15" s="78">
        <f>'MAIN OI BNF'!P19</f>
        <v>106880</v>
      </c>
      <c r="D15" s="78">
        <f>IFERROR($B15*SUM(A$2:$A15)-SUMPRODUCT($B$2:B15,$A$2:A15),0)</f>
        <v>1103976000</v>
      </c>
      <c r="E15" s="78">
        <f>IFERROR(SUMPRODUCT($B$14:B15,$C$14:C15)-$B15*SUM($C$14:C15),0)</f>
        <v>-7288000</v>
      </c>
      <c r="F15" s="78">
        <f t="shared" si="0"/>
        <v>1096688000</v>
      </c>
      <c r="G15" s="79">
        <f t="shared" si="1"/>
        <v>23000</v>
      </c>
    </row>
    <row r="16" spans="1:11">
      <c r="A16" s="78">
        <f>'MAIN OI BNF'!H20</f>
        <v>274520</v>
      </c>
      <c r="B16" s="80">
        <f>'MAIN OI BNF'!L20</f>
        <v>23100</v>
      </c>
      <c r="C16" s="78">
        <f>'MAIN OI BNF'!P20</f>
        <v>4360</v>
      </c>
      <c r="D16" s="78">
        <f>IFERROR($B16*SUM(A$2:$A16)-SUMPRODUCT($B$2:B16,$A$2:A16),0)</f>
        <v>1545216000</v>
      </c>
      <c r="E16" s="78">
        <f>IFERROR(SUMPRODUCT($B$14:B16,$C$14:C16)-$B16*SUM($C$14:C16),0)</f>
        <v>-25264000</v>
      </c>
      <c r="F16" s="78">
        <f t="shared" si="0"/>
        <v>1519952000</v>
      </c>
      <c r="G16" s="79">
        <f t="shared" si="1"/>
        <v>23100</v>
      </c>
    </row>
    <row r="17" spans="1:11">
      <c r="A17" s="78">
        <f>'MAIN OI BNF'!H21</f>
        <v>311360</v>
      </c>
      <c r="B17" s="80">
        <f>'MAIN OI BNF'!L21</f>
        <v>23200</v>
      </c>
      <c r="C17" s="78">
        <f>'MAIN OI BNF'!P21</f>
        <v>1800</v>
      </c>
      <c r="D17" s="78">
        <f>IFERROR($B17*SUM(A$2:$A17)-SUMPRODUCT($B$2:B17,$A$2:A17),0)</f>
        <v>2013908000</v>
      </c>
      <c r="E17" s="78">
        <f>IFERROR(SUMPRODUCT($B$14:B17,$C$14:C17)-$B17*SUM($C$14:C17),0)</f>
        <v>-43676000</v>
      </c>
      <c r="F17" s="78">
        <f t="shared" si="0"/>
        <v>1970232000</v>
      </c>
      <c r="G17" s="79">
        <f t="shared" si="1"/>
        <v>23200</v>
      </c>
    </row>
    <row r="18" spans="1:11">
      <c r="A18" s="83">
        <f>SUM(A2:A17)</f>
        <v>4998280</v>
      </c>
      <c r="C18" s="83">
        <f>SUM(C2:C17)</f>
        <v>5216840</v>
      </c>
      <c r="D18" s="1"/>
      <c r="F18" s="1"/>
      <c r="G18" s="57"/>
    </row>
    <row r="21" spans="1:11">
      <c r="B21" s="1"/>
    </row>
    <row r="22" spans="1:11">
      <c r="B22" s="1"/>
    </row>
    <row r="23" spans="1:11" ht="20">
      <c r="A23" s="65"/>
      <c r="B23" s="66"/>
    </row>
    <row r="25" spans="1:11">
      <c r="K25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40"/>
  <sheetViews>
    <sheetView topLeftCell="A118" workbookViewId="0">
      <selection activeCell="B65" sqref="B65:B137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8.66406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57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75" t="str">
        <f>MID(D1,40,12)</f>
        <v xml:space="preserve"> Dec 19, 201</v>
      </c>
      <c r="B1" s="77"/>
      <c r="C1" t="s">
        <v>15</v>
      </c>
      <c r="D1" s="1" t="s">
        <v>61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75" t="str">
        <f>"Last Update @  "&amp;MID(D1,53,8)</f>
        <v>Last Update @   15:30:3</v>
      </c>
      <c r="B2" s="7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76" t="str">
        <f>MID(D1,19,5)</f>
        <v>NIFTY</v>
      </c>
      <c r="B3" s="77"/>
      <c r="C3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76">
        <f>VALUE(MID(D1,25,7))</f>
        <v>10463.200000000001</v>
      </c>
      <c r="B4" s="77"/>
      <c r="C4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57" t="s">
        <v>47</v>
      </c>
    </row>
    <row r="5" spans="1:27">
      <c r="A5" s="76">
        <f>ROUND(A4,-2)</f>
        <v>10500</v>
      </c>
      <c r="B5" s="77"/>
      <c r="C5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7">
      <c r="A6" t="str">
        <f>"CE"&amp;N6</f>
        <v>CE</v>
      </c>
      <c r="B6" t="str">
        <f>"PE"&amp;N6</f>
        <v>PE</v>
      </c>
      <c r="C6" t="s">
        <v>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57" t="e">
        <f>X6/D6</f>
        <v>#DIV/0!</v>
      </c>
    </row>
    <row r="7" spans="1:27">
      <c r="A7" t="str">
        <f t="shared" ref="A7:A41" si="0">"CE"&amp;N7</f>
        <v>CE</v>
      </c>
      <c r="B7" t="str">
        <f t="shared" ref="B7:B41" si="1">"PE"&amp;N7</f>
        <v>PE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57" t="e">
        <f t="shared" ref="AA7:AA63" si="2">X7/D7</f>
        <v>#DIV/0!</v>
      </c>
    </row>
    <row r="8" spans="1:27">
      <c r="A8" t="str">
        <f t="shared" si="0"/>
        <v>CE</v>
      </c>
      <c r="B8" t="str">
        <f t="shared" si="1"/>
        <v>PE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57" t="e">
        <f t="shared" si="2"/>
        <v>#DIV/0!</v>
      </c>
    </row>
    <row r="9" spans="1:27">
      <c r="A9" t="str">
        <f t="shared" si="0"/>
        <v>CE</v>
      </c>
      <c r="B9" t="str">
        <f t="shared" si="1"/>
        <v>PE</v>
      </c>
      <c r="C9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AA9" s="57" t="e">
        <f t="shared" si="2"/>
        <v>#DIV/0!</v>
      </c>
    </row>
    <row r="10" spans="1:27">
      <c r="A10" t="str">
        <f t="shared" si="0"/>
        <v>CEStrike Price</v>
      </c>
      <c r="B10" t="str">
        <f t="shared" si="1"/>
        <v>PEStrike Price</v>
      </c>
      <c r="C10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</v>
      </c>
      <c r="L10" s="1" t="s">
        <v>12</v>
      </c>
      <c r="M10" s="1" t="s">
        <v>12</v>
      </c>
      <c r="N10" s="1" t="s">
        <v>13</v>
      </c>
      <c r="O10" s="1" t="s">
        <v>9</v>
      </c>
      <c r="P10" s="1" t="s">
        <v>9</v>
      </c>
      <c r="Q10" s="1" t="s">
        <v>12</v>
      </c>
      <c r="R10" s="1" t="s">
        <v>12</v>
      </c>
      <c r="S10" s="1" t="s">
        <v>8</v>
      </c>
      <c r="T10" s="1" t="s">
        <v>7</v>
      </c>
      <c r="U10" s="1" t="s">
        <v>6</v>
      </c>
      <c r="V10" s="1" t="s">
        <v>5</v>
      </c>
      <c r="W10" s="1" t="s">
        <v>4</v>
      </c>
      <c r="X10" s="1" t="s">
        <v>3</v>
      </c>
      <c r="Y10" s="1" t="s">
        <v>2</v>
      </c>
      <c r="AA10" s="57" t="e">
        <f t="shared" si="2"/>
        <v>#VALUE!</v>
      </c>
    </row>
    <row r="11" spans="1:27">
      <c r="A11" t="str">
        <f t="shared" si="0"/>
        <v>CE</v>
      </c>
      <c r="B11" t="str">
        <f t="shared" si="1"/>
        <v>PE</v>
      </c>
      <c r="D11" s="1"/>
      <c r="E11" s="1"/>
      <c r="F11" s="1"/>
      <c r="G11" s="1"/>
      <c r="H11" s="1"/>
      <c r="I11" s="1"/>
      <c r="J11" s="1" t="s">
        <v>10</v>
      </c>
      <c r="K11" s="1" t="s">
        <v>11</v>
      </c>
      <c r="L11" s="1" t="s">
        <v>11</v>
      </c>
      <c r="M11" s="1" t="s">
        <v>10</v>
      </c>
      <c r="N11" s="1"/>
      <c r="O11" s="1" t="s">
        <v>10</v>
      </c>
      <c r="P11" s="1" t="s">
        <v>11</v>
      </c>
      <c r="Q11" s="1" t="s">
        <v>11</v>
      </c>
      <c r="R11" s="1" t="s">
        <v>10</v>
      </c>
      <c r="S11" s="1"/>
      <c r="T11" s="1"/>
      <c r="U11" s="1"/>
      <c r="V11" s="1"/>
      <c r="W11" s="1"/>
      <c r="X11" s="1"/>
      <c r="Y11" s="1"/>
      <c r="AA11" s="57" t="e">
        <f t="shared" si="2"/>
        <v>#DIV/0!</v>
      </c>
    </row>
    <row r="12" spans="1:27">
      <c r="A12" t="str">
        <f t="shared" si="0"/>
        <v>CE3500</v>
      </c>
      <c r="B12" t="str">
        <f t="shared" si="1"/>
        <v>PE3500</v>
      </c>
      <c r="C12" t="s">
        <v>59</v>
      </c>
      <c r="D12" s="1">
        <v>431475</v>
      </c>
      <c r="E12" s="1">
        <v>-25200</v>
      </c>
      <c r="F12" s="1">
        <v>344</v>
      </c>
      <c r="G12" s="1" t="s">
        <v>14</v>
      </c>
      <c r="H12" s="1">
        <v>6968</v>
      </c>
      <c r="I12" s="1">
        <v>64.400000000000006</v>
      </c>
      <c r="J12" s="1">
        <v>75</v>
      </c>
      <c r="K12" s="1">
        <v>6960.75</v>
      </c>
      <c r="L12" s="1">
        <v>6967.15</v>
      </c>
      <c r="M12" s="1">
        <v>750</v>
      </c>
      <c r="N12" s="1">
        <v>3500</v>
      </c>
      <c r="O12" s="1">
        <v>450</v>
      </c>
      <c r="P12" s="1">
        <v>0.25</v>
      </c>
      <c r="Q12" s="1">
        <v>0.85</v>
      </c>
      <c r="R12" s="1">
        <v>8925</v>
      </c>
      <c r="S12" s="1">
        <v>-0.7</v>
      </c>
      <c r="T12" s="1">
        <v>0.25</v>
      </c>
      <c r="U12" s="1">
        <v>211.65</v>
      </c>
      <c r="V12" s="1">
        <v>48</v>
      </c>
      <c r="W12" s="1">
        <v>-1275</v>
      </c>
      <c r="X12" s="1">
        <v>12225</v>
      </c>
      <c r="Y12" s="1" t="s">
        <v>59</v>
      </c>
      <c r="AA12" s="57">
        <f t="shared" si="2"/>
        <v>2.8333043629410741E-2</v>
      </c>
    </row>
    <row r="13" spans="1:27">
      <c r="A13" t="str">
        <f t="shared" si="0"/>
        <v>CE4000</v>
      </c>
      <c r="B13" t="str">
        <f t="shared" si="1"/>
        <v>PE4000</v>
      </c>
      <c r="C13" t="s">
        <v>59</v>
      </c>
      <c r="D13" s="1">
        <v>146250</v>
      </c>
      <c r="E13" s="1">
        <v>-12450</v>
      </c>
      <c r="F13" s="1">
        <v>221</v>
      </c>
      <c r="G13" s="1" t="s">
        <v>14</v>
      </c>
      <c r="H13" s="1">
        <v>6465</v>
      </c>
      <c r="I13" s="1">
        <v>63.8</v>
      </c>
      <c r="J13" s="1">
        <v>75</v>
      </c>
      <c r="K13" s="1">
        <v>6449.1</v>
      </c>
      <c r="L13" s="1">
        <v>6467.4</v>
      </c>
      <c r="M13" s="1">
        <v>300</v>
      </c>
      <c r="N13" s="1">
        <v>4000</v>
      </c>
      <c r="O13" s="1">
        <v>150</v>
      </c>
      <c r="P13" s="1">
        <v>0.25</v>
      </c>
      <c r="Q13" s="1">
        <v>1.2</v>
      </c>
      <c r="R13" s="1">
        <v>7500</v>
      </c>
      <c r="S13" s="1">
        <v>-0.7</v>
      </c>
      <c r="T13" s="1">
        <v>0.25</v>
      </c>
      <c r="U13" s="1">
        <v>186.73</v>
      </c>
      <c r="V13" s="1">
        <v>21</v>
      </c>
      <c r="W13" s="1">
        <v>-75</v>
      </c>
      <c r="X13" s="1">
        <v>450</v>
      </c>
      <c r="Y13" s="1" t="s">
        <v>59</v>
      </c>
      <c r="AA13" s="57">
        <f t="shared" si="2"/>
        <v>3.0769230769230769E-3</v>
      </c>
    </row>
    <row r="14" spans="1:27">
      <c r="A14" t="str">
        <f t="shared" si="0"/>
        <v>CE4500</v>
      </c>
      <c r="B14" t="str">
        <f t="shared" si="1"/>
        <v>PE4500</v>
      </c>
      <c r="C14" t="s">
        <v>59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2700</v>
      </c>
      <c r="K14" s="1">
        <v>5923.95</v>
      </c>
      <c r="L14" s="1">
        <v>5985.5</v>
      </c>
      <c r="M14" s="1">
        <v>3000</v>
      </c>
      <c r="N14" s="1">
        <v>4500</v>
      </c>
      <c r="O14" s="1" t="s">
        <v>14</v>
      </c>
      <c r="P14" s="1" t="s">
        <v>14</v>
      </c>
      <c r="Q14" s="1">
        <v>1.4</v>
      </c>
      <c r="R14" s="1">
        <v>7500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59</v>
      </c>
      <c r="AA14" s="57" t="e">
        <f t="shared" si="2"/>
        <v>#VALUE!</v>
      </c>
    </row>
    <row r="15" spans="1:27">
      <c r="A15" t="str">
        <f t="shared" si="0"/>
        <v>CE5000</v>
      </c>
      <c r="B15" t="str">
        <f t="shared" si="1"/>
        <v>PE5000</v>
      </c>
      <c r="C15" t="s">
        <v>59</v>
      </c>
      <c r="D15" s="1">
        <v>209100</v>
      </c>
      <c r="E15" s="1">
        <v>-8550</v>
      </c>
      <c r="F15" s="1">
        <v>295</v>
      </c>
      <c r="G15" s="1" t="s">
        <v>14</v>
      </c>
      <c r="H15" s="1">
        <v>5465</v>
      </c>
      <c r="I15" s="1">
        <v>80.5</v>
      </c>
      <c r="J15" s="1">
        <v>75</v>
      </c>
      <c r="K15" s="1">
        <v>5462.05</v>
      </c>
      <c r="L15" s="1">
        <v>5474.15</v>
      </c>
      <c r="M15" s="1">
        <v>75</v>
      </c>
      <c r="N15" s="1">
        <v>5000</v>
      </c>
      <c r="O15" s="1">
        <v>150</v>
      </c>
      <c r="P15" s="1">
        <v>0.15</v>
      </c>
      <c r="Q15" s="1">
        <v>0.9</v>
      </c>
      <c r="R15" s="1">
        <v>1500</v>
      </c>
      <c r="S15" s="1">
        <v>-0.75</v>
      </c>
      <c r="T15" s="1">
        <v>0.15</v>
      </c>
      <c r="U15" s="1">
        <v>139.77000000000001</v>
      </c>
      <c r="V15" s="1">
        <v>41</v>
      </c>
      <c r="W15" s="1">
        <v>225</v>
      </c>
      <c r="X15" s="1">
        <v>144425</v>
      </c>
      <c r="Y15" s="1" t="s">
        <v>59</v>
      </c>
      <c r="AA15" s="57">
        <f t="shared" si="2"/>
        <v>0.69069823051171686</v>
      </c>
    </row>
    <row r="16" spans="1:27">
      <c r="A16" t="str">
        <f t="shared" si="0"/>
        <v>CE5500</v>
      </c>
      <c r="B16" t="str">
        <f t="shared" si="1"/>
        <v>PE5500</v>
      </c>
      <c r="C16" t="s">
        <v>59</v>
      </c>
      <c r="D16" s="1">
        <v>4800</v>
      </c>
      <c r="E16" s="1" t="s">
        <v>14</v>
      </c>
      <c r="F16" s="1" t="s">
        <v>14</v>
      </c>
      <c r="G16" s="1" t="s">
        <v>14</v>
      </c>
      <c r="H16" s="1">
        <v>4625</v>
      </c>
      <c r="I16" s="1" t="s">
        <v>14</v>
      </c>
      <c r="J16" s="1">
        <v>300</v>
      </c>
      <c r="K16" s="1">
        <v>4956</v>
      </c>
      <c r="L16" s="1">
        <v>4979.05</v>
      </c>
      <c r="M16" s="1">
        <v>375</v>
      </c>
      <c r="N16" s="1">
        <v>5500</v>
      </c>
      <c r="O16" s="1">
        <v>150</v>
      </c>
      <c r="P16" s="1">
        <v>0.25</v>
      </c>
      <c r="Q16" s="1">
        <v>1.4</v>
      </c>
      <c r="R16" s="1">
        <v>7500</v>
      </c>
      <c r="S16" s="1" t="s">
        <v>14</v>
      </c>
      <c r="T16" s="1">
        <v>2.7</v>
      </c>
      <c r="U16" s="1" t="s">
        <v>14</v>
      </c>
      <c r="V16" s="1" t="s">
        <v>14</v>
      </c>
      <c r="W16" s="1" t="s">
        <v>14</v>
      </c>
      <c r="X16" s="1">
        <v>10050</v>
      </c>
      <c r="Y16" s="1" t="s">
        <v>59</v>
      </c>
      <c r="AA16" s="57">
        <f t="shared" si="2"/>
        <v>2.09375</v>
      </c>
    </row>
    <row r="17" spans="1:27">
      <c r="A17" t="str">
        <f t="shared" si="0"/>
        <v>CE6000</v>
      </c>
      <c r="B17" t="str">
        <f t="shared" si="1"/>
        <v>PE6000</v>
      </c>
      <c r="C17" t="s">
        <v>59</v>
      </c>
      <c r="D17" s="1">
        <v>247500</v>
      </c>
      <c r="E17" s="1">
        <v>-11325</v>
      </c>
      <c r="F17" s="1">
        <v>199</v>
      </c>
      <c r="G17" s="1" t="s">
        <v>14</v>
      </c>
      <c r="H17" s="1">
        <v>4474</v>
      </c>
      <c r="I17" s="1">
        <v>62.5</v>
      </c>
      <c r="J17" s="1">
        <v>75</v>
      </c>
      <c r="K17" s="1">
        <v>4461.1499999999996</v>
      </c>
      <c r="L17" s="1">
        <v>4474.1499999999996</v>
      </c>
      <c r="M17" s="1">
        <v>150</v>
      </c>
      <c r="N17" s="1">
        <v>6000</v>
      </c>
      <c r="O17" s="1">
        <v>675</v>
      </c>
      <c r="P17" s="1">
        <v>0.45</v>
      </c>
      <c r="Q17" s="1">
        <v>0.65</v>
      </c>
      <c r="R17" s="1">
        <v>75</v>
      </c>
      <c r="S17" s="1">
        <v>-0.15</v>
      </c>
      <c r="T17" s="1">
        <v>0.65</v>
      </c>
      <c r="U17" s="1">
        <v>120.11</v>
      </c>
      <c r="V17" s="1">
        <v>35</v>
      </c>
      <c r="W17" s="1">
        <v>-75</v>
      </c>
      <c r="X17" s="1">
        <v>394875</v>
      </c>
      <c r="Y17" s="1" t="s">
        <v>59</v>
      </c>
      <c r="AA17" s="57">
        <f t="shared" si="2"/>
        <v>1.5954545454545455</v>
      </c>
    </row>
    <row r="18" spans="1:27">
      <c r="A18" t="str">
        <f t="shared" si="0"/>
        <v>CE6500</v>
      </c>
      <c r="B18" t="str">
        <f t="shared" si="1"/>
        <v>PE6500</v>
      </c>
      <c r="C18" t="s">
        <v>59</v>
      </c>
      <c r="D18" s="1">
        <v>2100</v>
      </c>
      <c r="E18" s="1" t="s">
        <v>14</v>
      </c>
      <c r="F18" s="1">
        <v>3</v>
      </c>
      <c r="G18" s="1">
        <v>111.3</v>
      </c>
      <c r="H18" s="1">
        <v>3980.55</v>
      </c>
      <c r="I18" s="1">
        <v>397.45</v>
      </c>
      <c r="J18" s="1">
        <v>300</v>
      </c>
      <c r="K18" s="1">
        <v>3959</v>
      </c>
      <c r="L18" s="1">
        <v>3979.3</v>
      </c>
      <c r="M18" s="1">
        <v>75</v>
      </c>
      <c r="N18" s="1">
        <v>6500</v>
      </c>
      <c r="O18" s="1">
        <v>2850</v>
      </c>
      <c r="P18" s="1">
        <v>0.2</v>
      </c>
      <c r="Q18" s="1">
        <v>0.5</v>
      </c>
      <c r="R18" s="1">
        <v>75</v>
      </c>
      <c r="S18" s="1" t="s">
        <v>14</v>
      </c>
      <c r="T18" s="1">
        <v>0.7</v>
      </c>
      <c r="U18" s="1" t="s">
        <v>14</v>
      </c>
      <c r="V18" s="1" t="s">
        <v>14</v>
      </c>
      <c r="W18" s="1" t="s">
        <v>14</v>
      </c>
      <c r="X18" s="1">
        <v>41225</v>
      </c>
      <c r="Y18" s="1" t="s">
        <v>59</v>
      </c>
      <c r="AA18" s="57">
        <f t="shared" si="2"/>
        <v>19.63095238095238</v>
      </c>
    </row>
    <row r="19" spans="1:27">
      <c r="A19" t="str">
        <f t="shared" si="0"/>
        <v>CE6600</v>
      </c>
      <c r="B19" t="str">
        <f t="shared" si="1"/>
        <v>PE6600</v>
      </c>
      <c r="C19" t="s">
        <v>59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3000</v>
      </c>
      <c r="K19" s="1">
        <v>3818.75</v>
      </c>
      <c r="L19" s="1">
        <v>3885.7</v>
      </c>
      <c r="M19" s="1">
        <v>3000</v>
      </c>
      <c r="N19" s="1">
        <v>6600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>
        <v>51.7</v>
      </c>
      <c r="U19" s="1" t="s">
        <v>14</v>
      </c>
      <c r="V19" s="1" t="s">
        <v>14</v>
      </c>
      <c r="W19" s="1" t="s">
        <v>14</v>
      </c>
      <c r="X19" s="1">
        <v>9550</v>
      </c>
      <c r="Y19" s="1" t="s">
        <v>59</v>
      </c>
      <c r="AA19" s="57" t="e">
        <f t="shared" si="2"/>
        <v>#VALUE!</v>
      </c>
    </row>
    <row r="20" spans="1:27">
      <c r="A20" t="str">
        <f t="shared" si="0"/>
        <v>CE6700</v>
      </c>
      <c r="B20" t="str">
        <f t="shared" si="1"/>
        <v>PE6700</v>
      </c>
      <c r="C20" t="s">
        <v>59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3000</v>
      </c>
      <c r="K20" s="1">
        <v>3718.75</v>
      </c>
      <c r="L20" s="1">
        <v>3785.7</v>
      </c>
      <c r="M20" s="1">
        <v>3000</v>
      </c>
      <c r="N20" s="1">
        <v>6700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59</v>
      </c>
      <c r="AA20" s="57" t="e">
        <f t="shared" si="2"/>
        <v>#VALUE!</v>
      </c>
    </row>
    <row r="21" spans="1:27">
      <c r="A21" t="str">
        <f t="shared" si="0"/>
        <v>CE6800</v>
      </c>
      <c r="B21" t="str">
        <f t="shared" si="1"/>
        <v>PE6800</v>
      </c>
      <c r="C21" t="s">
        <v>59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3000</v>
      </c>
      <c r="K21" s="1">
        <v>3619.75</v>
      </c>
      <c r="L21" s="1">
        <v>3685.7</v>
      </c>
      <c r="M21" s="1">
        <v>3000</v>
      </c>
      <c r="N21" s="1">
        <v>6800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59</v>
      </c>
      <c r="AA21" s="57" t="e">
        <f t="shared" si="2"/>
        <v>#VALUE!</v>
      </c>
    </row>
    <row r="22" spans="1:27">
      <c r="A22" t="str">
        <f t="shared" si="0"/>
        <v>CE6900</v>
      </c>
      <c r="B22" t="str">
        <f t="shared" si="1"/>
        <v>PE6900</v>
      </c>
      <c r="C22" t="s">
        <v>59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3000</v>
      </c>
      <c r="K22" s="1">
        <v>3520.75</v>
      </c>
      <c r="L22" s="1">
        <v>3585.7</v>
      </c>
      <c r="M22" s="1">
        <v>3000</v>
      </c>
      <c r="N22" s="1">
        <v>6900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59</v>
      </c>
      <c r="AA22" s="57" t="e">
        <f t="shared" si="2"/>
        <v>#VALUE!</v>
      </c>
    </row>
    <row r="23" spans="1:27">
      <c r="A23" t="str">
        <f t="shared" si="0"/>
        <v>CE7000</v>
      </c>
      <c r="B23" t="str">
        <f t="shared" si="1"/>
        <v>PE7000</v>
      </c>
      <c r="C23" t="s">
        <v>59</v>
      </c>
      <c r="D23" s="1">
        <v>242700</v>
      </c>
      <c r="E23" s="1">
        <v>-2775</v>
      </c>
      <c r="F23" s="1">
        <v>43</v>
      </c>
      <c r="G23" s="1" t="s">
        <v>14</v>
      </c>
      <c r="H23" s="1">
        <v>3460.1</v>
      </c>
      <c r="I23" s="1">
        <v>59.85</v>
      </c>
      <c r="J23" s="1">
        <v>75</v>
      </c>
      <c r="K23" s="1">
        <v>3460.1</v>
      </c>
      <c r="L23" s="1">
        <v>3474.05</v>
      </c>
      <c r="M23" s="1">
        <v>150</v>
      </c>
      <c r="N23" s="1">
        <v>7000</v>
      </c>
      <c r="O23" s="1">
        <v>975</v>
      </c>
      <c r="P23" s="1">
        <v>0.3</v>
      </c>
      <c r="Q23" s="1">
        <v>0.5</v>
      </c>
      <c r="R23" s="1">
        <v>75</v>
      </c>
      <c r="S23" s="1">
        <v>-0.3</v>
      </c>
      <c r="T23" s="1">
        <v>0.2</v>
      </c>
      <c r="U23" s="1">
        <v>80.5</v>
      </c>
      <c r="V23" s="1">
        <v>42</v>
      </c>
      <c r="W23" s="1">
        <v>-3150</v>
      </c>
      <c r="X23" s="1">
        <v>153975</v>
      </c>
      <c r="Y23" s="1" t="s">
        <v>59</v>
      </c>
      <c r="AA23" s="57">
        <f t="shared" si="2"/>
        <v>0.63442521631644</v>
      </c>
    </row>
    <row r="24" spans="1:27">
      <c r="A24" t="str">
        <f t="shared" si="0"/>
        <v>CE7100</v>
      </c>
      <c r="B24" t="str">
        <f t="shared" si="1"/>
        <v>PE7100</v>
      </c>
      <c r="C24" t="s">
        <v>59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v>3000</v>
      </c>
      <c r="K24" s="1">
        <v>3326.75</v>
      </c>
      <c r="L24" s="1">
        <v>3384.7</v>
      </c>
      <c r="M24" s="1">
        <v>3000</v>
      </c>
      <c r="N24" s="1">
        <v>7100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14</v>
      </c>
      <c r="Y24" s="1" t="s">
        <v>59</v>
      </c>
      <c r="AA24" s="57" t="e">
        <f t="shared" si="2"/>
        <v>#VALUE!</v>
      </c>
    </row>
    <row r="25" spans="1:27">
      <c r="A25" t="str">
        <f t="shared" si="0"/>
        <v>CE7200</v>
      </c>
      <c r="B25" t="str">
        <f t="shared" si="1"/>
        <v>PE7200</v>
      </c>
      <c r="C25" t="s">
        <v>59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v>3000</v>
      </c>
      <c r="K25" s="1">
        <v>3227.75</v>
      </c>
      <c r="L25" s="1">
        <v>3284.7</v>
      </c>
      <c r="M25" s="1">
        <v>3000</v>
      </c>
      <c r="N25" s="1">
        <v>7200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59</v>
      </c>
      <c r="AA25" s="57" t="e">
        <f t="shared" si="2"/>
        <v>#VALUE!</v>
      </c>
    </row>
    <row r="26" spans="1:27">
      <c r="A26" t="str">
        <f t="shared" si="0"/>
        <v>CE7300</v>
      </c>
      <c r="B26" t="str">
        <f t="shared" si="1"/>
        <v>PE7300</v>
      </c>
      <c r="C26" t="s">
        <v>59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v>3000</v>
      </c>
      <c r="K26" s="1">
        <v>3129.75</v>
      </c>
      <c r="L26" s="1">
        <v>3184.7</v>
      </c>
      <c r="M26" s="1">
        <v>3000</v>
      </c>
      <c r="N26" s="1">
        <v>7300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1" t="s">
        <v>14</v>
      </c>
      <c r="W26" s="1" t="s">
        <v>14</v>
      </c>
      <c r="X26" s="1" t="s">
        <v>14</v>
      </c>
      <c r="Y26" s="1" t="s">
        <v>59</v>
      </c>
      <c r="AA26" s="57" t="e">
        <f t="shared" si="2"/>
        <v>#VALUE!</v>
      </c>
    </row>
    <row r="27" spans="1:27">
      <c r="A27" t="str">
        <f t="shared" si="0"/>
        <v>CE7400</v>
      </c>
      <c r="B27" t="str">
        <f t="shared" si="1"/>
        <v>PE7400</v>
      </c>
      <c r="C27" t="s">
        <v>59</v>
      </c>
      <c r="D27" s="1">
        <v>1725</v>
      </c>
      <c r="E27" s="1" t="s">
        <v>14</v>
      </c>
      <c r="F27" s="1" t="s">
        <v>14</v>
      </c>
      <c r="G27" s="1" t="s">
        <v>14</v>
      </c>
      <c r="H27" s="1">
        <v>2310</v>
      </c>
      <c r="I27" s="1" t="s">
        <v>14</v>
      </c>
      <c r="J27" s="1">
        <v>3000</v>
      </c>
      <c r="K27" s="1">
        <v>3029.75</v>
      </c>
      <c r="L27" s="1">
        <v>3084.7</v>
      </c>
      <c r="M27" s="1">
        <v>3000</v>
      </c>
      <c r="N27" s="1">
        <v>7400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59</v>
      </c>
      <c r="AA27" s="57" t="e">
        <f t="shared" si="2"/>
        <v>#VALUE!</v>
      </c>
    </row>
    <row r="28" spans="1:27">
      <c r="A28" t="str">
        <f t="shared" si="0"/>
        <v>CE7500</v>
      </c>
      <c r="B28" t="str">
        <f t="shared" si="1"/>
        <v>PE7500</v>
      </c>
      <c r="C28" t="s">
        <v>59</v>
      </c>
      <c r="D28" s="1">
        <v>284100</v>
      </c>
      <c r="E28" s="1">
        <v>-2850</v>
      </c>
      <c r="F28" s="1">
        <v>40</v>
      </c>
      <c r="G28" s="1" t="s">
        <v>14</v>
      </c>
      <c r="H28" s="1">
        <v>2960</v>
      </c>
      <c r="I28" s="1">
        <v>59.25</v>
      </c>
      <c r="J28" s="1">
        <v>300</v>
      </c>
      <c r="K28" s="1">
        <v>2957</v>
      </c>
      <c r="L28" s="1">
        <v>2976.9</v>
      </c>
      <c r="M28" s="1">
        <v>75</v>
      </c>
      <c r="N28" s="1">
        <v>7500</v>
      </c>
      <c r="O28" s="1">
        <v>225</v>
      </c>
      <c r="P28" s="1">
        <v>0.6</v>
      </c>
      <c r="Q28" s="1">
        <v>0.85</v>
      </c>
      <c r="R28" s="1">
        <v>6750</v>
      </c>
      <c r="S28" s="1">
        <v>0.05</v>
      </c>
      <c r="T28" s="1">
        <v>0.85</v>
      </c>
      <c r="U28" s="1">
        <v>76.69</v>
      </c>
      <c r="V28" s="1">
        <v>20</v>
      </c>
      <c r="W28" s="1">
        <v>-150</v>
      </c>
      <c r="X28" s="1">
        <v>270375</v>
      </c>
      <c r="Y28" s="1" t="s">
        <v>59</v>
      </c>
      <c r="AA28" s="57">
        <f t="shared" si="2"/>
        <v>0.95168954593453015</v>
      </c>
    </row>
    <row r="29" spans="1:27">
      <c r="A29" t="str">
        <f t="shared" si="0"/>
        <v>CE7600</v>
      </c>
      <c r="B29" t="str">
        <f t="shared" si="1"/>
        <v>PE7600</v>
      </c>
      <c r="C29" t="s">
        <v>59</v>
      </c>
      <c r="D29" s="1">
        <v>75025</v>
      </c>
      <c r="E29" s="1" t="s">
        <v>14</v>
      </c>
      <c r="F29" s="1" t="s">
        <v>14</v>
      </c>
      <c r="G29" s="1" t="s">
        <v>14</v>
      </c>
      <c r="H29" s="1">
        <v>2535</v>
      </c>
      <c r="I29" s="1" t="s">
        <v>14</v>
      </c>
      <c r="J29" s="1">
        <v>3000</v>
      </c>
      <c r="K29" s="1">
        <v>2833.95</v>
      </c>
      <c r="L29" s="1">
        <v>2884.7</v>
      </c>
      <c r="M29" s="1">
        <v>3000</v>
      </c>
      <c r="N29" s="1">
        <v>7600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>
        <v>256.14999999999998</v>
      </c>
      <c r="U29" s="1" t="s">
        <v>14</v>
      </c>
      <c r="V29" s="1" t="s">
        <v>14</v>
      </c>
      <c r="W29" s="1" t="s">
        <v>14</v>
      </c>
      <c r="X29" s="1">
        <v>14550</v>
      </c>
      <c r="Y29" s="1" t="s">
        <v>59</v>
      </c>
      <c r="AA29" s="57">
        <f t="shared" si="2"/>
        <v>0.1939353548817061</v>
      </c>
    </row>
    <row r="30" spans="1:27">
      <c r="A30" t="str">
        <f t="shared" si="0"/>
        <v>CE7700</v>
      </c>
      <c r="B30" t="str">
        <f t="shared" si="1"/>
        <v>PE7700</v>
      </c>
      <c r="C30" t="s">
        <v>59</v>
      </c>
      <c r="D30" s="1">
        <v>64575</v>
      </c>
      <c r="E30" s="1">
        <v>-35475</v>
      </c>
      <c r="F30" s="1">
        <v>473</v>
      </c>
      <c r="G30" s="1" t="s">
        <v>14</v>
      </c>
      <c r="H30" s="1">
        <v>2724</v>
      </c>
      <c r="I30" s="1">
        <v>330.2</v>
      </c>
      <c r="J30" s="1">
        <v>3000</v>
      </c>
      <c r="K30" s="1">
        <v>2733.95</v>
      </c>
      <c r="L30" s="1">
        <v>2784.7</v>
      </c>
      <c r="M30" s="1">
        <v>3000</v>
      </c>
      <c r="N30" s="1">
        <v>7700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59</v>
      </c>
      <c r="AA30" s="57" t="e">
        <f t="shared" si="2"/>
        <v>#VALUE!</v>
      </c>
    </row>
    <row r="31" spans="1:27">
      <c r="A31" t="str">
        <f t="shared" si="0"/>
        <v>CE7800</v>
      </c>
      <c r="B31" t="str">
        <f t="shared" si="1"/>
        <v>PE7800</v>
      </c>
      <c r="C31" t="s">
        <v>59</v>
      </c>
      <c r="D31" s="1">
        <v>8725</v>
      </c>
      <c r="E31" s="1" t="s">
        <v>14</v>
      </c>
      <c r="F31" s="1" t="s">
        <v>14</v>
      </c>
      <c r="G31" s="1" t="s">
        <v>14</v>
      </c>
      <c r="H31" s="1">
        <v>2408.6999999999998</v>
      </c>
      <c r="I31" s="1" t="s">
        <v>14</v>
      </c>
      <c r="J31" s="1">
        <v>3000</v>
      </c>
      <c r="K31" s="1">
        <v>2636.35</v>
      </c>
      <c r="L31" s="1">
        <v>2684.7</v>
      </c>
      <c r="M31" s="1">
        <v>3000</v>
      </c>
      <c r="N31" s="1">
        <v>7800</v>
      </c>
      <c r="O31" s="1" t="s">
        <v>14</v>
      </c>
      <c r="P31" s="1" t="s">
        <v>14</v>
      </c>
      <c r="Q31" s="1">
        <v>0.75</v>
      </c>
      <c r="R31" s="1">
        <v>1050</v>
      </c>
      <c r="S31" s="1" t="s">
        <v>14</v>
      </c>
      <c r="T31" s="1">
        <v>0.05</v>
      </c>
      <c r="U31" s="1" t="s">
        <v>14</v>
      </c>
      <c r="V31" s="1" t="s">
        <v>14</v>
      </c>
      <c r="W31" s="1" t="s">
        <v>14</v>
      </c>
      <c r="X31" s="1">
        <v>21075</v>
      </c>
      <c r="Y31" s="1" t="s">
        <v>59</v>
      </c>
      <c r="AA31" s="57">
        <f t="shared" si="2"/>
        <v>2.4154727793696273</v>
      </c>
    </row>
    <row r="32" spans="1:27">
      <c r="A32" t="str">
        <f t="shared" si="0"/>
        <v>CE7900</v>
      </c>
      <c r="B32" t="str">
        <f t="shared" si="1"/>
        <v>PE7900</v>
      </c>
      <c r="C32" t="s">
        <v>59</v>
      </c>
      <c r="D32" s="1">
        <v>75</v>
      </c>
      <c r="E32" s="1" t="s">
        <v>14</v>
      </c>
      <c r="F32" s="1" t="s">
        <v>14</v>
      </c>
      <c r="G32" s="1" t="s">
        <v>14</v>
      </c>
      <c r="H32" s="1">
        <v>2470</v>
      </c>
      <c r="I32" s="1" t="s">
        <v>14</v>
      </c>
      <c r="J32" s="1">
        <v>300</v>
      </c>
      <c r="K32" s="1">
        <v>2558</v>
      </c>
      <c r="L32" s="1">
        <v>2584.6999999999998</v>
      </c>
      <c r="M32" s="1">
        <v>3000</v>
      </c>
      <c r="N32" s="1">
        <v>7900</v>
      </c>
      <c r="O32" s="1" t="s">
        <v>14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59</v>
      </c>
      <c r="AA32" s="57" t="e">
        <f t="shared" si="2"/>
        <v>#VALUE!</v>
      </c>
    </row>
    <row r="33" spans="1:27">
      <c r="A33" t="str">
        <f t="shared" si="0"/>
        <v>CE8000</v>
      </c>
      <c r="B33" t="str">
        <f t="shared" si="1"/>
        <v>PE8000</v>
      </c>
      <c r="C33" t="s">
        <v>59</v>
      </c>
      <c r="D33" s="1">
        <v>670975</v>
      </c>
      <c r="E33" s="1">
        <v>-1350</v>
      </c>
      <c r="F33" s="1">
        <v>62</v>
      </c>
      <c r="G33" s="1" t="s">
        <v>14</v>
      </c>
      <c r="H33" s="1">
        <v>2473.1999999999998</v>
      </c>
      <c r="I33" s="1">
        <v>72.45</v>
      </c>
      <c r="J33" s="1">
        <v>75</v>
      </c>
      <c r="K33" s="1">
        <v>2464.85</v>
      </c>
      <c r="L33" s="1">
        <v>2472.9</v>
      </c>
      <c r="M33" s="1">
        <v>75</v>
      </c>
      <c r="N33" s="1">
        <v>8000</v>
      </c>
      <c r="O33" s="1">
        <v>3000</v>
      </c>
      <c r="P33" s="1">
        <v>0.35</v>
      </c>
      <c r="Q33" s="1">
        <v>0.45</v>
      </c>
      <c r="R33" s="1">
        <v>1275</v>
      </c>
      <c r="S33" s="1">
        <v>-0.1</v>
      </c>
      <c r="T33" s="1">
        <v>0.45</v>
      </c>
      <c r="U33" s="1">
        <v>59.35</v>
      </c>
      <c r="V33" s="1">
        <v>307</v>
      </c>
      <c r="W33" s="1">
        <v>-13125</v>
      </c>
      <c r="X33" s="1">
        <v>556675</v>
      </c>
      <c r="Y33" s="1" t="s">
        <v>59</v>
      </c>
      <c r="AA33" s="57">
        <f t="shared" si="2"/>
        <v>0.82965088118037189</v>
      </c>
    </row>
    <row r="34" spans="1:27">
      <c r="A34" t="str">
        <f t="shared" si="0"/>
        <v>CE8100</v>
      </c>
      <c r="B34" t="str">
        <f t="shared" si="1"/>
        <v>PE8100</v>
      </c>
      <c r="C34" t="s">
        <v>59</v>
      </c>
      <c r="D34" s="1">
        <v>834475</v>
      </c>
      <c r="E34" s="1">
        <v>-75</v>
      </c>
      <c r="F34" s="1">
        <v>1</v>
      </c>
      <c r="G34" s="1" t="s">
        <v>14</v>
      </c>
      <c r="H34" s="1">
        <v>2330</v>
      </c>
      <c r="I34" s="1">
        <v>257.3</v>
      </c>
      <c r="J34" s="1">
        <v>300</v>
      </c>
      <c r="K34" s="1">
        <v>2359.1999999999998</v>
      </c>
      <c r="L34" s="1">
        <v>2373.6</v>
      </c>
      <c r="M34" s="1">
        <v>300</v>
      </c>
      <c r="N34" s="1">
        <v>8100</v>
      </c>
      <c r="O34" s="1">
        <v>300</v>
      </c>
      <c r="P34" s="1">
        <v>0.35</v>
      </c>
      <c r="Q34" s="1">
        <v>0.65</v>
      </c>
      <c r="R34" s="1">
        <v>15000</v>
      </c>
      <c r="S34" s="1">
        <v>0.2</v>
      </c>
      <c r="T34" s="1">
        <v>0.7</v>
      </c>
      <c r="U34" s="1">
        <v>59.25</v>
      </c>
      <c r="V34" s="1">
        <v>9</v>
      </c>
      <c r="W34" s="1">
        <v>-75</v>
      </c>
      <c r="X34" s="1">
        <v>98850</v>
      </c>
      <c r="Y34" s="1" t="s">
        <v>59</v>
      </c>
      <c r="AA34" s="57">
        <f t="shared" si="2"/>
        <v>0.1184577129332814</v>
      </c>
    </row>
    <row r="35" spans="1:27">
      <c r="A35" t="str">
        <f t="shared" si="0"/>
        <v>CE8200</v>
      </c>
      <c r="B35" t="str">
        <f t="shared" si="1"/>
        <v>PE8200</v>
      </c>
      <c r="C35" t="s">
        <v>59</v>
      </c>
      <c r="D35" s="1">
        <v>487625</v>
      </c>
      <c r="E35" s="1" t="s">
        <v>14</v>
      </c>
      <c r="F35" s="1" t="s">
        <v>14</v>
      </c>
      <c r="G35" s="1" t="s">
        <v>14</v>
      </c>
      <c r="H35" s="1">
        <v>2220.4499999999998</v>
      </c>
      <c r="I35" s="1" t="s">
        <v>14</v>
      </c>
      <c r="J35" s="1">
        <v>300</v>
      </c>
      <c r="K35" s="1">
        <v>2259.6</v>
      </c>
      <c r="L35" s="1">
        <v>2270.6</v>
      </c>
      <c r="M35" s="1">
        <v>75</v>
      </c>
      <c r="N35" s="1">
        <v>8200</v>
      </c>
      <c r="O35" s="1">
        <v>900</v>
      </c>
      <c r="P35" s="1">
        <v>0.3</v>
      </c>
      <c r="Q35" s="1">
        <v>0.8</v>
      </c>
      <c r="R35" s="1">
        <v>3000</v>
      </c>
      <c r="S35" s="1" t="s">
        <v>14</v>
      </c>
      <c r="T35" s="1">
        <v>0.6</v>
      </c>
      <c r="U35" s="1" t="s">
        <v>14</v>
      </c>
      <c r="V35" s="1" t="s">
        <v>14</v>
      </c>
      <c r="W35" s="1" t="s">
        <v>14</v>
      </c>
      <c r="X35" s="1">
        <v>6825</v>
      </c>
      <c r="Y35" s="1" t="s">
        <v>59</v>
      </c>
      <c r="AA35" s="57">
        <f t="shared" si="2"/>
        <v>1.3996411176621379E-2</v>
      </c>
    </row>
    <row r="36" spans="1:27">
      <c r="A36" t="str">
        <f t="shared" si="0"/>
        <v>CE8250</v>
      </c>
      <c r="B36" t="str">
        <f t="shared" si="1"/>
        <v>PE8250</v>
      </c>
      <c r="C36" t="s">
        <v>59</v>
      </c>
      <c r="D36" s="1">
        <v>20175</v>
      </c>
      <c r="E36" s="1" t="s">
        <v>14</v>
      </c>
      <c r="F36" s="1" t="s">
        <v>14</v>
      </c>
      <c r="G36" s="1" t="s">
        <v>14</v>
      </c>
      <c r="H36" s="1">
        <v>1880</v>
      </c>
      <c r="I36" s="1" t="s">
        <v>14</v>
      </c>
      <c r="J36" s="1">
        <v>300</v>
      </c>
      <c r="K36" s="1">
        <v>2209</v>
      </c>
      <c r="L36" s="1">
        <v>2224.65</v>
      </c>
      <c r="M36" s="1">
        <v>150</v>
      </c>
      <c r="N36" s="1">
        <v>8250</v>
      </c>
      <c r="O36" s="1">
        <v>3975</v>
      </c>
      <c r="P36" s="1">
        <v>0.05</v>
      </c>
      <c r="Q36" s="1">
        <v>1</v>
      </c>
      <c r="R36" s="1">
        <v>6000</v>
      </c>
      <c r="S36" s="1" t="s">
        <v>14</v>
      </c>
      <c r="T36" s="1">
        <v>0.05</v>
      </c>
      <c r="U36" s="1" t="s">
        <v>14</v>
      </c>
      <c r="V36" s="1" t="s">
        <v>14</v>
      </c>
      <c r="W36" s="1" t="s">
        <v>14</v>
      </c>
      <c r="X36" s="1">
        <v>300</v>
      </c>
      <c r="Y36" s="1" t="s">
        <v>59</v>
      </c>
      <c r="AA36" s="57">
        <f t="shared" si="2"/>
        <v>1.4869888475836431E-2</v>
      </c>
    </row>
    <row r="37" spans="1:27">
      <c r="A37" t="str">
        <f t="shared" si="0"/>
        <v>CE8300</v>
      </c>
      <c r="B37" t="str">
        <f t="shared" si="1"/>
        <v>PE8300</v>
      </c>
      <c r="C37" t="s">
        <v>59</v>
      </c>
      <c r="D37" s="1">
        <v>827775</v>
      </c>
      <c r="E37" s="1">
        <v>-1050</v>
      </c>
      <c r="F37" s="1">
        <v>144</v>
      </c>
      <c r="G37" s="1" t="s">
        <v>14</v>
      </c>
      <c r="H37" s="1">
        <v>2167.65</v>
      </c>
      <c r="I37" s="1">
        <v>70.349999999999994</v>
      </c>
      <c r="J37" s="1">
        <v>225</v>
      </c>
      <c r="K37" s="1">
        <v>2158.6</v>
      </c>
      <c r="L37" s="1">
        <v>2167.0500000000002</v>
      </c>
      <c r="M37" s="1">
        <v>75</v>
      </c>
      <c r="N37" s="1">
        <v>8300</v>
      </c>
      <c r="O37" s="1">
        <v>900</v>
      </c>
      <c r="P37" s="1">
        <v>0.4</v>
      </c>
      <c r="Q37" s="1">
        <v>0.45</v>
      </c>
      <c r="R37" s="1">
        <v>375</v>
      </c>
      <c r="S37" s="1">
        <v>-0.1</v>
      </c>
      <c r="T37" s="1">
        <v>0.4</v>
      </c>
      <c r="U37" s="1">
        <v>51.33</v>
      </c>
      <c r="V37" s="1">
        <v>100</v>
      </c>
      <c r="W37" s="1">
        <v>-450</v>
      </c>
      <c r="X37" s="1">
        <v>93750</v>
      </c>
      <c r="Y37" s="1" t="s">
        <v>59</v>
      </c>
      <c r="AA37" s="57">
        <f t="shared" si="2"/>
        <v>0.11325541360877051</v>
      </c>
    </row>
    <row r="38" spans="1:27">
      <c r="A38" t="str">
        <f t="shared" si="0"/>
        <v>CE8350</v>
      </c>
      <c r="B38" t="str">
        <f t="shared" si="1"/>
        <v>PE8350</v>
      </c>
      <c r="C38" t="s">
        <v>59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>
        <v>8350</v>
      </c>
      <c r="O38" s="1" t="s">
        <v>14</v>
      </c>
      <c r="P38" s="1" t="s">
        <v>14</v>
      </c>
      <c r="Q38" s="1">
        <v>1</v>
      </c>
      <c r="R38" s="1">
        <v>6000</v>
      </c>
      <c r="S38" s="1" t="s">
        <v>14</v>
      </c>
      <c r="T38" s="1" t="s">
        <v>14</v>
      </c>
      <c r="U38" s="1" t="s">
        <v>14</v>
      </c>
      <c r="V38" s="1" t="s">
        <v>14</v>
      </c>
      <c r="W38" s="1" t="s">
        <v>14</v>
      </c>
      <c r="X38" s="1" t="s">
        <v>14</v>
      </c>
      <c r="Y38" s="1" t="s">
        <v>59</v>
      </c>
      <c r="AA38" s="57" t="e">
        <f t="shared" si="2"/>
        <v>#VALUE!</v>
      </c>
    </row>
    <row r="39" spans="1:27">
      <c r="A39" t="str">
        <f t="shared" si="0"/>
        <v>CE8400</v>
      </c>
      <c r="B39" t="str">
        <f t="shared" si="1"/>
        <v>PE8400</v>
      </c>
      <c r="C39" t="s">
        <v>59</v>
      </c>
      <c r="D39" s="1">
        <v>764375</v>
      </c>
      <c r="E39" s="1">
        <v>-600</v>
      </c>
      <c r="F39" s="1">
        <v>56</v>
      </c>
      <c r="G39" s="1" t="s">
        <v>14</v>
      </c>
      <c r="H39" s="1">
        <v>2059.5500000000002</v>
      </c>
      <c r="I39" s="1">
        <v>47.4</v>
      </c>
      <c r="J39" s="1">
        <v>300</v>
      </c>
      <c r="K39" s="1">
        <v>2058.3000000000002</v>
      </c>
      <c r="L39" s="1">
        <v>2066.25</v>
      </c>
      <c r="M39" s="1">
        <v>75</v>
      </c>
      <c r="N39" s="1">
        <v>8400</v>
      </c>
      <c r="O39" s="1">
        <v>900</v>
      </c>
      <c r="P39" s="1">
        <v>0.5</v>
      </c>
      <c r="Q39" s="1">
        <v>0.65</v>
      </c>
      <c r="R39" s="1">
        <v>75</v>
      </c>
      <c r="S39" s="1">
        <v>-0.35</v>
      </c>
      <c r="T39" s="1">
        <v>0.45</v>
      </c>
      <c r="U39" s="1">
        <v>49.44</v>
      </c>
      <c r="V39" s="1">
        <v>61</v>
      </c>
      <c r="W39" s="1">
        <v>-3075</v>
      </c>
      <c r="X39" s="1">
        <v>28050</v>
      </c>
      <c r="Y39" s="1" t="s">
        <v>59</v>
      </c>
      <c r="AA39" s="57">
        <f t="shared" si="2"/>
        <v>3.6696647587898611E-2</v>
      </c>
    </row>
    <row r="40" spans="1:27">
      <c r="A40" t="str">
        <f t="shared" si="0"/>
        <v>CE8450</v>
      </c>
      <c r="B40" t="str">
        <f t="shared" si="1"/>
        <v>PE8450</v>
      </c>
      <c r="C40" t="s">
        <v>59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14</v>
      </c>
      <c r="M40" s="1" t="s">
        <v>14</v>
      </c>
      <c r="N40" s="1">
        <v>8450</v>
      </c>
      <c r="O40" s="1">
        <v>5025</v>
      </c>
      <c r="P40" s="1">
        <v>0.05</v>
      </c>
      <c r="Q40" s="1">
        <v>2</v>
      </c>
      <c r="R40" s="1">
        <v>3000</v>
      </c>
      <c r="S40" s="1" t="s">
        <v>14</v>
      </c>
      <c r="T40" s="1" t="s">
        <v>14</v>
      </c>
      <c r="U40" s="1" t="s">
        <v>14</v>
      </c>
      <c r="V40" s="1" t="s">
        <v>14</v>
      </c>
      <c r="W40" s="1" t="s">
        <v>14</v>
      </c>
      <c r="X40" s="1" t="s">
        <v>14</v>
      </c>
      <c r="Y40" s="1" t="s">
        <v>59</v>
      </c>
      <c r="AA40" s="57" t="e">
        <f t="shared" si="2"/>
        <v>#VALUE!</v>
      </c>
    </row>
    <row r="41" spans="1:27">
      <c r="A41" t="str">
        <f t="shared" si="0"/>
        <v>CE8500</v>
      </c>
      <c r="B41" t="str">
        <f t="shared" si="1"/>
        <v>PE8500</v>
      </c>
      <c r="C41" t="s">
        <v>59</v>
      </c>
      <c r="D41" s="1">
        <v>1585050</v>
      </c>
      <c r="E41" s="1">
        <v>-42000</v>
      </c>
      <c r="F41" s="1">
        <v>710</v>
      </c>
      <c r="G41" s="1" t="s">
        <v>14</v>
      </c>
      <c r="H41" s="1">
        <v>1964.95</v>
      </c>
      <c r="I41" s="1">
        <v>72.05</v>
      </c>
      <c r="J41" s="1">
        <v>75</v>
      </c>
      <c r="K41" s="1">
        <v>1961</v>
      </c>
      <c r="L41" s="1">
        <v>1970.9</v>
      </c>
      <c r="M41" s="1">
        <v>150</v>
      </c>
      <c r="N41" s="1">
        <v>8500</v>
      </c>
      <c r="O41" s="1">
        <v>225</v>
      </c>
      <c r="P41" s="1">
        <v>0.65</v>
      </c>
      <c r="Q41" s="1">
        <v>0.75</v>
      </c>
      <c r="R41" s="1">
        <v>750</v>
      </c>
      <c r="S41" s="1">
        <v>-0.05</v>
      </c>
      <c r="T41" s="1">
        <v>0.65</v>
      </c>
      <c r="U41" s="1">
        <v>48.71</v>
      </c>
      <c r="V41" s="1">
        <v>486</v>
      </c>
      <c r="W41" s="1">
        <v>-13725</v>
      </c>
      <c r="X41" s="1">
        <v>686725</v>
      </c>
      <c r="Y41" s="1" t="s">
        <v>59</v>
      </c>
      <c r="AA41" s="57">
        <f t="shared" si="2"/>
        <v>0.43325131699315478</v>
      </c>
    </row>
    <row r="42" spans="1:27">
      <c r="A42" t="str">
        <f t="shared" ref="A42:A52" si="3">"CE"&amp;N42</f>
        <v>CE8550</v>
      </c>
      <c r="B42" t="str">
        <f t="shared" ref="B42:B52" si="4">"PE"&amp;N42</f>
        <v>PE8550</v>
      </c>
      <c r="C42" t="s">
        <v>59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>
        <v>8550</v>
      </c>
      <c r="O42" s="1">
        <v>5025</v>
      </c>
      <c r="P42" s="1">
        <v>0.05</v>
      </c>
      <c r="Q42" s="1">
        <v>2.9</v>
      </c>
      <c r="R42" s="1">
        <v>7500</v>
      </c>
      <c r="S42" s="1" t="s">
        <v>14</v>
      </c>
      <c r="T42" s="1" t="s">
        <v>14</v>
      </c>
      <c r="U42" s="1" t="s">
        <v>14</v>
      </c>
      <c r="V42" s="1" t="s">
        <v>14</v>
      </c>
      <c r="W42" s="1" t="s">
        <v>14</v>
      </c>
      <c r="X42" s="1" t="s">
        <v>14</v>
      </c>
      <c r="Y42" s="1" t="s">
        <v>59</v>
      </c>
      <c r="AA42" s="57" t="e">
        <f t="shared" si="2"/>
        <v>#VALUE!</v>
      </c>
    </row>
    <row r="43" spans="1:27">
      <c r="A43" t="str">
        <f t="shared" si="3"/>
        <v>CE8600</v>
      </c>
      <c r="B43" t="str">
        <f t="shared" si="4"/>
        <v>PE8600</v>
      </c>
      <c r="C43" t="s">
        <v>59</v>
      </c>
      <c r="D43" s="1">
        <v>758325</v>
      </c>
      <c r="E43" s="1">
        <v>975</v>
      </c>
      <c r="F43" s="1">
        <v>32</v>
      </c>
      <c r="G43" s="1" t="s">
        <v>14</v>
      </c>
      <c r="H43" s="1">
        <v>1853</v>
      </c>
      <c r="I43" s="1">
        <v>54.1</v>
      </c>
      <c r="J43" s="1">
        <v>75</v>
      </c>
      <c r="K43" s="1">
        <v>1858.55</v>
      </c>
      <c r="L43" s="1">
        <v>1865.5</v>
      </c>
      <c r="M43" s="1">
        <v>75</v>
      </c>
      <c r="N43" s="1">
        <v>8600</v>
      </c>
      <c r="O43" s="1">
        <v>3225</v>
      </c>
      <c r="P43" s="1">
        <v>0.5</v>
      </c>
      <c r="Q43" s="1">
        <v>0.6</v>
      </c>
      <c r="R43" s="1">
        <v>300</v>
      </c>
      <c r="S43" s="1">
        <v>-0.2</v>
      </c>
      <c r="T43" s="1">
        <v>0.5</v>
      </c>
      <c r="U43" s="1">
        <v>45.07</v>
      </c>
      <c r="V43" s="1">
        <v>223</v>
      </c>
      <c r="W43" s="1">
        <v>-5850</v>
      </c>
      <c r="X43" s="1">
        <v>175025</v>
      </c>
      <c r="Y43" s="1" t="s">
        <v>59</v>
      </c>
      <c r="AA43" s="57">
        <f t="shared" si="2"/>
        <v>0.23080473411795735</v>
      </c>
    </row>
    <row r="44" spans="1:27">
      <c r="A44" t="str">
        <f t="shared" si="3"/>
        <v>CE8650</v>
      </c>
      <c r="B44" t="str">
        <f t="shared" si="4"/>
        <v>PE8650</v>
      </c>
      <c r="C44" t="s">
        <v>59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>
        <v>2094.6999999999998</v>
      </c>
      <c r="M44" s="1">
        <v>150</v>
      </c>
      <c r="N44" s="1">
        <v>8650</v>
      </c>
      <c r="O44" s="1">
        <v>5025</v>
      </c>
      <c r="P44" s="1">
        <v>0.05</v>
      </c>
      <c r="Q44" s="1">
        <v>2.9</v>
      </c>
      <c r="R44" s="1">
        <v>7500</v>
      </c>
      <c r="S44" s="1" t="s">
        <v>14</v>
      </c>
      <c r="T44" s="1" t="s">
        <v>14</v>
      </c>
      <c r="U44" s="1" t="s">
        <v>14</v>
      </c>
      <c r="V44" s="1" t="s">
        <v>14</v>
      </c>
      <c r="W44" s="1" t="s">
        <v>14</v>
      </c>
      <c r="X44" s="1" t="s">
        <v>14</v>
      </c>
      <c r="Y44" s="1" t="s">
        <v>59</v>
      </c>
      <c r="AA44" s="57" t="e">
        <f t="shared" si="2"/>
        <v>#VALUE!</v>
      </c>
    </row>
    <row r="45" spans="1:27">
      <c r="A45" t="str">
        <f t="shared" si="3"/>
        <v>CE8700</v>
      </c>
      <c r="B45" t="str">
        <f t="shared" si="4"/>
        <v>PE8700</v>
      </c>
      <c r="C45" t="s">
        <v>59</v>
      </c>
      <c r="D45" s="1">
        <v>619200</v>
      </c>
      <c r="E45" s="1">
        <v>-1500</v>
      </c>
      <c r="F45" s="1">
        <v>20</v>
      </c>
      <c r="G45" s="1" t="s">
        <v>14</v>
      </c>
      <c r="H45" s="1">
        <v>1756</v>
      </c>
      <c r="I45" s="1">
        <v>36.4</v>
      </c>
      <c r="J45" s="1">
        <v>75</v>
      </c>
      <c r="K45" s="1">
        <v>1761.65</v>
      </c>
      <c r="L45" s="1">
        <v>1770.65</v>
      </c>
      <c r="M45" s="1">
        <v>300</v>
      </c>
      <c r="N45" s="1">
        <v>8700</v>
      </c>
      <c r="O45" s="1">
        <v>1725</v>
      </c>
      <c r="P45" s="1">
        <v>0.65</v>
      </c>
      <c r="Q45" s="1">
        <v>0.9</v>
      </c>
      <c r="R45" s="1">
        <v>150</v>
      </c>
      <c r="S45" s="1">
        <v>-0.75</v>
      </c>
      <c r="T45" s="1">
        <v>0.65</v>
      </c>
      <c r="U45" s="1">
        <v>43.78</v>
      </c>
      <c r="V45" s="1">
        <v>146</v>
      </c>
      <c r="W45" s="1">
        <v>-1950</v>
      </c>
      <c r="X45" s="1">
        <v>24625</v>
      </c>
      <c r="Y45" s="1" t="s">
        <v>59</v>
      </c>
      <c r="AA45" s="57">
        <f t="shared" si="2"/>
        <v>3.9769056847545219E-2</v>
      </c>
    </row>
    <row r="46" spans="1:27">
      <c r="A46" t="str">
        <f t="shared" si="3"/>
        <v>CE8750</v>
      </c>
      <c r="B46" t="str">
        <f t="shared" si="4"/>
        <v>PE8750</v>
      </c>
      <c r="C46" t="s">
        <v>59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>
        <v>8750</v>
      </c>
      <c r="O46" s="1">
        <v>5025</v>
      </c>
      <c r="P46" s="1">
        <v>0.05</v>
      </c>
      <c r="Q46" s="1">
        <v>2.9</v>
      </c>
      <c r="R46" s="1">
        <v>7500</v>
      </c>
      <c r="S46" s="1" t="s">
        <v>14</v>
      </c>
      <c r="T46" s="1" t="s">
        <v>14</v>
      </c>
      <c r="U46" s="1" t="s">
        <v>14</v>
      </c>
      <c r="V46" s="1" t="s">
        <v>14</v>
      </c>
      <c r="W46" s="1" t="s">
        <v>14</v>
      </c>
      <c r="X46" s="1" t="s">
        <v>14</v>
      </c>
      <c r="Y46" s="1" t="s">
        <v>59</v>
      </c>
      <c r="AA46" s="57" t="e">
        <f t="shared" si="2"/>
        <v>#VALUE!</v>
      </c>
    </row>
    <row r="47" spans="1:27">
      <c r="A47" t="str">
        <f t="shared" si="3"/>
        <v>CE8800</v>
      </c>
      <c r="B47" t="str">
        <f t="shared" si="4"/>
        <v>PE8800</v>
      </c>
      <c r="C47" t="s">
        <v>59</v>
      </c>
      <c r="D47" s="1">
        <v>446875</v>
      </c>
      <c r="E47" s="1">
        <v>-675</v>
      </c>
      <c r="F47" s="1">
        <v>9</v>
      </c>
      <c r="G47" s="1" t="s">
        <v>14</v>
      </c>
      <c r="H47" s="1">
        <v>1655.05</v>
      </c>
      <c r="I47" s="1">
        <v>30.95</v>
      </c>
      <c r="J47" s="1">
        <v>300</v>
      </c>
      <c r="K47" s="1">
        <v>1664</v>
      </c>
      <c r="L47" s="1">
        <v>1670.8</v>
      </c>
      <c r="M47" s="1">
        <v>300</v>
      </c>
      <c r="N47" s="1">
        <v>8800</v>
      </c>
      <c r="O47" s="1">
        <v>3300</v>
      </c>
      <c r="P47" s="1">
        <v>1</v>
      </c>
      <c r="Q47" s="1">
        <v>1.2</v>
      </c>
      <c r="R47" s="1">
        <v>2100</v>
      </c>
      <c r="S47" s="1">
        <v>-0.35</v>
      </c>
      <c r="T47" s="1">
        <v>1.1499999999999999</v>
      </c>
      <c r="U47" s="1">
        <v>43.93</v>
      </c>
      <c r="V47" s="1">
        <v>466</v>
      </c>
      <c r="W47" s="1">
        <v>-75</v>
      </c>
      <c r="X47" s="1">
        <v>302800</v>
      </c>
      <c r="Y47" s="1" t="s">
        <v>59</v>
      </c>
      <c r="AA47" s="57">
        <f t="shared" si="2"/>
        <v>0.67759440559440565</v>
      </c>
    </row>
    <row r="48" spans="1:27">
      <c r="A48" t="str">
        <f t="shared" si="3"/>
        <v>CE8850</v>
      </c>
      <c r="B48" t="str">
        <f t="shared" si="4"/>
        <v>PE8850</v>
      </c>
      <c r="C48" t="s">
        <v>59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>
        <v>8850</v>
      </c>
      <c r="O48" s="1">
        <v>10050</v>
      </c>
      <c r="P48" s="1">
        <v>0.15</v>
      </c>
      <c r="Q48" s="1">
        <v>2.9</v>
      </c>
      <c r="R48" s="1">
        <v>7500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 t="s">
        <v>14</v>
      </c>
      <c r="Y48" s="1" t="s">
        <v>59</v>
      </c>
      <c r="AA48" s="57" t="e">
        <f t="shared" si="2"/>
        <v>#VALUE!</v>
      </c>
    </row>
    <row r="49" spans="1:27">
      <c r="A49" t="str">
        <f t="shared" si="3"/>
        <v>CE8900</v>
      </c>
      <c r="B49" t="str">
        <f t="shared" si="4"/>
        <v>PE8900</v>
      </c>
      <c r="C49" t="s">
        <v>59</v>
      </c>
      <c r="D49" s="1">
        <v>470400</v>
      </c>
      <c r="E49" s="1" t="s">
        <v>14</v>
      </c>
      <c r="F49" s="1">
        <v>1</v>
      </c>
      <c r="G49" s="1" t="s">
        <v>14</v>
      </c>
      <c r="H49" s="1">
        <v>1528.15</v>
      </c>
      <c r="I49" s="1">
        <v>3.05</v>
      </c>
      <c r="J49" s="1">
        <v>150</v>
      </c>
      <c r="K49" s="1">
        <v>1561.2</v>
      </c>
      <c r="L49" s="1">
        <v>1573.3</v>
      </c>
      <c r="M49" s="1">
        <v>75</v>
      </c>
      <c r="N49" s="1">
        <v>8900</v>
      </c>
      <c r="O49" s="1">
        <v>450</v>
      </c>
      <c r="P49" s="1">
        <v>1.1000000000000001</v>
      </c>
      <c r="Q49" s="1">
        <v>1.3</v>
      </c>
      <c r="R49" s="1">
        <v>300</v>
      </c>
      <c r="S49" s="1">
        <v>-0.3</v>
      </c>
      <c r="T49" s="1">
        <v>1.25</v>
      </c>
      <c r="U49" s="1">
        <v>41.78</v>
      </c>
      <c r="V49" s="1">
        <v>62</v>
      </c>
      <c r="W49" s="1">
        <v>-600</v>
      </c>
      <c r="X49" s="1">
        <v>195425</v>
      </c>
      <c r="Y49" s="1" t="s">
        <v>59</v>
      </c>
      <c r="AA49" s="57">
        <f t="shared" si="2"/>
        <v>0.41544430272108845</v>
      </c>
    </row>
    <row r="50" spans="1:27">
      <c r="A50" t="str">
        <f t="shared" si="3"/>
        <v>CE8950</v>
      </c>
      <c r="B50" t="str">
        <f t="shared" si="4"/>
        <v>PE8950</v>
      </c>
      <c r="C50" t="s">
        <v>59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>
        <v>8950</v>
      </c>
      <c r="O50" s="1">
        <v>5025</v>
      </c>
      <c r="P50" s="1">
        <v>0.35</v>
      </c>
      <c r="Q50" s="1">
        <v>2.9</v>
      </c>
      <c r="R50" s="1">
        <v>7500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14</v>
      </c>
      <c r="Y50" s="1" t="s">
        <v>59</v>
      </c>
      <c r="AA50" s="57" t="e">
        <f t="shared" si="2"/>
        <v>#VALUE!</v>
      </c>
    </row>
    <row r="51" spans="1:27">
      <c r="A51" t="str">
        <f t="shared" si="3"/>
        <v>CE9000</v>
      </c>
      <c r="B51" t="str">
        <f t="shared" si="4"/>
        <v>PE9000</v>
      </c>
      <c r="C51" t="s">
        <v>59</v>
      </c>
      <c r="D51" s="1">
        <v>1340200</v>
      </c>
      <c r="E51" s="1">
        <v>-23550</v>
      </c>
      <c r="F51" s="1">
        <v>509</v>
      </c>
      <c r="G51" s="1" t="s">
        <v>14</v>
      </c>
      <c r="H51" s="1">
        <v>1467</v>
      </c>
      <c r="I51" s="1">
        <v>73.849999999999994</v>
      </c>
      <c r="J51" s="1">
        <v>150</v>
      </c>
      <c r="K51" s="1">
        <v>1466</v>
      </c>
      <c r="L51" s="1">
        <v>1470</v>
      </c>
      <c r="M51" s="1">
        <v>375</v>
      </c>
      <c r="N51" s="1">
        <v>9000</v>
      </c>
      <c r="O51" s="1">
        <v>1500</v>
      </c>
      <c r="P51" s="1">
        <v>1.3</v>
      </c>
      <c r="Q51" s="1">
        <v>1.5</v>
      </c>
      <c r="R51" s="1">
        <v>750</v>
      </c>
      <c r="S51" s="1">
        <v>-0.6</v>
      </c>
      <c r="T51" s="1">
        <v>1.35</v>
      </c>
      <c r="U51" s="1">
        <v>39.58</v>
      </c>
      <c r="V51" s="1">
        <v>8007</v>
      </c>
      <c r="W51" s="1">
        <v>-71100</v>
      </c>
      <c r="X51" s="1">
        <v>2107050</v>
      </c>
      <c r="Y51" s="1" t="s">
        <v>59</v>
      </c>
      <c r="AA51" s="57">
        <f t="shared" si="2"/>
        <v>1.572190717803313</v>
      </c>
    </row>
    <row r="52" spans="1:27">
      <c r="A52" t="str">
        <f t="shared" si="3"/>
        <v>CE9050</v>
      </c>
      <c r="B52" t="str">
        <f t="shared" si="4"/>
        <v>PE9050</v>
      </c>
      <c r="C52" t="s">
        <v>59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 t="s">
        <v>14</v>
      </c>
      <c r="L52" s="1" t="s">
        <v>14</v>
      </c>
      <c r="M52" s="1" t="s">
        <v>14</v>
      </c>
      <c r="N52" s="1">
        <v>9050</v>
      </c>
      <c r="O52" s="1">
        <v>5025</v>
      </c>
      <c r="P52" s="1">
        <v>0.35</v>
      </c>
      <c r="Q52" s="1">
        <v>1.5</v>
      </c>
      <c r="R52" s="1">
        <v>75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59</v>
      </c>
      <c r="AA52" s="57" t="e">
        <f t="shared" si="2"/>
        <v>#VALUE!</v>
      </c>
    </row>
    <row r="53" spans="1:27">
      <c r="A53" t="str">
        <f t="shared" ref="A53:A88" si="5">"CE"&amp;N53</f>
        <v>CE9100</v>
      </c>
      <c r="B53" t="str">
        <f t="shared" ref="B53:B88" si="6">"PE"&amp;N53</f>
        <v>PE9100</v>
      </c>
      <c r="C53" t="s">
        <v>59</v>
      </c>
      <c r="D53" s="1">
        <v>60075</v>
      </c>
      <c r="E53" s="1">
        <v>-75</v>
      </c>
      <c r="F53" s="1">
        <v>2</v>
      </c>
      <c r="G53" s="1" t="s">
        <v>14</v>
      </c>
      <c r="H53" s="1">
        <v>1340.2</v>
      </c>
      <c r="I53" s="1">
        <v>26.55</v>
      </c>
      <c r="J53" s="1">
        <v>75</v>
      </c>
      <c r="K53" s="1">
        <v>1358.85</v>
      </c>
      <c r="L53" s="1">
        <v>1373.95</v>
      </c>
      <c r="M53" s="1">
        <v>75</v>
      </c>
      <c r="N53" s="1">
        <v>9100</v>
      </c>
      <c r="O53" s="1">
        <v>4500</v>
      </c>
      <c r="P53" s="1">
        <v>1.1000000000000001</v>
      </c>
      <c r="Q53" s="1">
        <v>1.5</v>
      </c>
      <c r="R53" s="1">
        <v>1500</v>
      </c>
      <c r="S53" s="1">
        <v>-0.7</v>
      </c>
      <c r="T53" s="1">
        <v>1.3</v>
      </c>
      <c r="U53" s="1">
        <v>36.86</v>
      </c>
      <c r="V53" s="1">
        <v>2416</v>
      </c>
      <c r="W53" s="1">
        <v>-2925</v>
      </c>
      <c r="X53" s="1">
        <v>459200</v>
      </c>
      <c r="Y53" s="1" t="s">
        <v>59</v>
      </c>
      <c r="AA53" s="57">
        <f t="shared" si="2"/>
        <v>7.6437786100707452</v>
      </c>
    </row>
    <row r="54" spans="1:27">
      <c r="A54" t="str">
        <f t="shared" si="5"/>
        <v>CE9150</v>
      </c>
      <c r="B54" t="str">
        <f t="shared" si="6"/>
        <v>PE9150</v>
      </c>
      <c r="C54" t="s">
        <v>59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>
        <v>9150</v>
      </c>
      <c r="O54" s="1">
        <v>5025</v>
      </c>
      <c r="P54" s="1">
        <v>0.35</v>
      </c>
      <c r="Q54" s="1">
        <v>2.9</v>
      </c>
      <c r="R54" s="1">
        <v>7500</v>
      </c>
      <c r="S54" s="1" t="s">
        <v>14</v>
      </c>
      <c r="T54" s="1" t="s">
        <v>14</v>
      </c>
      <c r="U54" s="1" t="s">
        <v>14</v>
      </c>
      <c r="V54" s="1" t="s">
        <v>14</v>
      </c>
      <c r="W54" s="1" t="s">
        <v>14</v>
      </c>
      <c r="X54" s="1" t="s">
        <v>14</v>
      </c>
      <c r="Y54" s="1" t="s">
        <v>59</v>
      </c>
      <c r="AA54" s="57" t="e">
        <f t="shared" si="2"/>
        <v>#VALUE!</v>
      </c>
    </row>
    <row r="55" spans="1:27">
      <c r="A55" t="str">
        <f t="shared" si="5"/>
        <v>CE9200</v>
      </c>
      <c r="B55" t="str">
        <f t="shared" si="6"/>
        <v>PE9200</v>
      </c>
      <c r="C55" t="s">
        <v>59</v>
      </c>
      <c r="D55" s="1">
        <v>91725</v>
      </c>
      <c r="E55" s="1">
        <v>525</v>
      </c>
      <c r="F55" s="1">
        <v>43</v>
      </c>
      <c r="G55" s="1" t="s">
        <v>14</v>
      </c>
      <c r="H55" s="1">
        <v>1262.7</v>
      </c>
      <c r="I55" s="1">
        <v>58.35</v>
      </c>
      <c r="J55" s="1">
        <v>75</v>
      </c>
      <c r="K55" s="1">
        <v>1260.7</v>
      </c>
      <c r="L55" s="1">
        <v>1267.8499999999999</v>
      </c>
      <c r="M55" s="1">
        <v>75</v>
      </c>
      <c r="N55" s="1">
        <v>9200</v>
      </c>
      <c r="O55" s="1">
        <v>75</v>
      </c>
      <c r="P55" s="1">
        <v>1.6</v>
      </c>
      <c r="Q55" s="1">
        <v>1.7</v>
      </c>
      <c r="R55" s="1">
        <v>75</v>
      </c>
      <c r="S55" s="1">
        <v>-0.4</v>
      </c>
      <c r="T55" s="1">
        <v>1.65</v>
      </c>
      <c r="U55" s="1">
        <v>35.33</v>
      </c>
      <c r="V55" s="1">
        <v>1929</v>
      </c>
      <c r="W55" s="1">
        <v>-31500</v>
      </c>
      <c r="X55" s="1">
        <v>634500</v>
      </c>
      <c r="Y55" s="1" t="s">
        <v>59</v>
      </c>
      <c r="AA55" s="57">
        <f t="shared" si="2"/>
        <v>6.9174161896974651</v>
      </c>
    </row>
    <row r="56" spans="1:27">
      <c r="A56" t="str">
        <f t="shared" si="5"/>
        <v>CE9250</v>
      </c>
      <c r="B56" t="str">
        <f t="shared" si="6"/>
        <v>PE9250</v>
      </c>
      <c r="C56" t="s">
        <v>59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 t="s">
        <v>14</v>
      </c>
      <c r="N56" s="1">
        <v>9250</v>
      </c>
      <c r="O56" s="1">
        <v>4950</v>
      </c>
      <c r="P56" s="1">
        <v>0.6</v>
      </c>
      <c r="Q56" s="1" t="s">
        <v>14</v>
      </c>
      <c r="R56" s="1" t="s">
        <v>14</v>
      </c>
      <c r="S56" s="1" t="s">
        <v>14</v>
      </c>
      <c r="T56" s="1" t="s">
        <v>14</v>
      </c>
      <c r="U56" s="1" t="s">
        <v>14</v>
      </c>
      <c r="V56" s="1" t="s">
        <v>14</v>
      </c>
      <c r="W56" s="1" t="s">
        <v>14</v>
      </c>
      <c r="X56" s="1" t="s">
        <v>14</v>
      </c>
      <c r="Y56" s="1" t="s">
        <v>59</v>
      </c>
      <c r="AA56" s="57" t="e">
        <f t="shared" si="2"/>
        <v>#VALUE!</v>
      </c>
    </row>
    <row r="57" spans="1:27">
      <c r="A57" t="str">
        <f t="shared" si="5"/>
        <v>CE9300</v>
      </c>
      <c r="B57" t="str">
        <f t="shared" si="6"/>
        <v>PE9300</v>
      </c>
      <c r="C57" t="s">
        <v>59</v>
      </c>
      <c r="D57" s="1">
        <v>147975</v>
      </c>
      <c r="E57" s="1">
        <v>8625</v>
      </c>
      <c r="F57" s="1">
        <v>257</v>
      </c>
      <c r="G57" s="1" t="s">
        <v>14</v>
      </c>
      <c r="H57" s="1">
        <v>1162.8</v>
      </c>
      <c r="I57" s="1">
        <v>62.1</v>
      </c>
      <c r="J57" s="1">
        <v>75</v>
      </c>
      <c r="K57" s="1">
        <v>1161.2</v>
      </c>
      <c r="L57" s="1">
        <v>1167.55</v>
      </c>
      <c r="M57" s="1">
        <v>75</v>
      </c>
      <c r="N57" s="1">
        <v>9300</v>
      </c>
      <c r="O57" s="1">
        <v>5400</v>
      </c>
      <c r="P57" s="1">
        <v>1.5</v>
      </c>
      <c r="Q57" s="1">
        <v>1.75</v>
      </c>
      <c r="R57" s="1">
        <v>75</v>
      </c>
      <c r="S57" s="1">
        <v>-0.6</v>
      </c>
      <c r="T57" s="1">
        <v>1.7</v>
      </c>
      <c r="U57" s="1">
        <v>32.869999999999997</v>
      </c>
      <c r="V57" s="1">
        <v>3637</v>
      </c>
      <c r="W57" s="1">
        <v>-83025</v>
      </c>
      <c r="X57" s="1">
        <v>642375</v>
      </c>
      <c r="Y57" s="1" t="s">
        <v>59</v>
      </c>
      <c r="AA57" s="57">
        <f t="shared" si="2"/>
        <v>4.3411049163710089</v>
      </c>
    </row>
    <row r="58" spans="1:27">
      <c r="A58" t="str">
        <f t="shared" si="5"/>
        <v>CE9350</v>
      </c>
      <c r="B58" t="str">
        <f t="shared" si="6"/>
        <v>PE9350</v>
      </c>
      <c r="C58" t="s">
        <v>59</v>
      </c>
      <c r="D58" s="1">
        <v>1500</v>
      </c>
      <c r="E58" s="1" t="s">
        <v>14</v>
      </c>
      <c r="F58" s="1" t="s">
        <v>14</v>
      </c>
      <c r="G58" s="1" t="s">
        <v>14</v>
      </c>
      <c r="H58" s="1">
        <v>795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>
        <v>9350</v>
      </c>
      <c r="O58" s="1">
        <v>3000</v>
      </c>
      <c r="P58" s="1">
        <v>1.05</v>
      </c>
      <c r="Q58" s="1" t="s">
        <v>14</v>
      </c>
      <c r="R58" s="1" t="s">
        <v>14</v>
      </c>
      <c r="S58" s="1">
        <v>-60.55</v>
      </c>
      <c r="T58" s="1">
        <v>2</v>
      </c>
      <c r="U58" s="1">
        <v>32.25</v>
      </c>
      <c r="V58" s="1">
        <v>48</v>
      </c>
      <c r="W58" s="1" t="s">
        <v>14</v>
      </c>
      <c r="X58" s="1" t="s">
        <v>14</v>
      </c>
      <c r="Y58" s="1" t="s">
        <v>59</v>
      </c>
      <c r="AA58" s="57" t="e">
        <f t="shared" si="2"/>
        <v>#VALUE!</v>
      </c>
    </row>
    <row r="59" spans="1:27">
      <c r="A59" t="str">
        <f t="shared" si="5"/>
        <v>CE9400</v>
      </c>
      <c r="B59" t="str">
        <f t="shared" si="6"/>
        <v>PE9400</v>
      </c>
      <c r="C59" t="s">
        <v>59</v>
      </c>
      <c r="D59" s="1">
        <v>72450</v>
      </c>
      <c r="E59" s="1" t="s">
        <v>14</v>
      </c>
      <c r="F59" s="1">
        <v>2</v>
      </c>
      <c r="G59" s="1" t="s">
        <v>14</v>
      </c>
      <c r="H59" s="1">
        <v>1070</v>
      </c>
      <c r="I59" s="1">
        <v>59.4</v>
      </c>
      <c r="J59" s="1">
        <v>300</v>
      </c>
      <c r="K59" s="1">
        <v>1062.5</v>
      </c>
      <c r="L59" s="1">
        <v>1073.0999999999999</v>
      </c>
      <c r="M59" s="1">
        <v>75</v>
      </c>
      <c r="N59" s="1">
        <v>9400</v>
      </c>
      <c r="O59" s="1">
        <v>600</v>
      </c>
      <c r="P59" s="1">
        <v>1.85</v>
      </c>
      <c r="Q59" s="1">
        <v>1.95</v>
      </c>
      <c r="R59" s="1">
        <v>1200</v>
      </c>
      <c r="S59" s="1">
        <v>-0.95</v>
      </c>
      <c r="T59" s="1">
        <v>1.85</v>
      </c>
      <c r="U59" s="1">
        <v>30.62</v>
      </c>
      <c r="V59" s="1">
        <v>11463</v>
      </c>
      <c r="W59" s="1">
        <v>-105075</v>
      </c>
      <c r="X59" s="1">
        <v>1264050</v>
      </c>
      <c r="Y59" s="1" t="s">
        <v>59</v>
      </c>
      <c r="AA59" s="57">
        <f t="shared" si="2"/>
        <v>17.447204968944099</v>
      </c>
    </row>
    <row r="60" spans="1:27">
      <c r="A60" t="str">
        <f t="shared" si="5"/>
        <v>CE9450</v>
      </c>
      <c r="B60" t="str">
        <f t="shared" si="6"/>
        <v>PE9450</v>
      </c>
      <c r="C60" t="s">
        <v>59</v>
      </c>
      <c r="D60" s="1">
        <v>1500</v>
      </c>
      <c r="E60" s="1" t="s">
        <v>14</v>
      </c>
      <c r="F60" s="1" t="s">
        <v>14</v>
      </c>
      <c r="G60" s="1" t="s">
        <v>14</v>
      </c>
      <c r="H60" s="1">
        <v>790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  <c r="N60" s="1">
        <v>9450</v>
      </c>
      <c r="O60" s="1">
        <v>4950</v>
      </c>
      <c r="P60" s="1">
        <v>1</v>
      </c>
      <c r="Q60" s="1">
        <v>3.05</v>
      </c>
      <c r="R60" s="1">
        <v>2025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59</v>
      </c>
      <c r="AA60" s="57" t="e">
        <f t="shared" si="2"/>
        <v>#VALUE!</v>
      </c>
    </row>
    <row r="61" spans="1:27">
      <c r="A61" t="str">
        <f t="shared" si="5"/>
        <v>CE9500</v>
      </c>
      <c r="B61" t="str">
        <f t="shared" si="6"/>
        <v>PE9500</v>
      </c>
      <c r="C61" t="s">
        <v>59</v>
      </c>
      <c r="D61" s="1">
        <v>863700</v>
      </c>
      <c r="E61" s="1">
        <v>-19200</v>
      </c>
      <c r="F61" s="1">
        <v>1103</v>
      </c>
      <c r="G61" s="1" t="s">
        <v>14</v>
      </c>
      <c r="H61" s="1">
        <v>970</v>
      </c>
      <c r="I61" s="1">
        <v>66.150000000000006</v>
      </c>
      <c r="J61" s="1">
        <v>4800</v>
      </c>
      <c r="K61" s="1">
        <v>970</v>
      </c>
      <c r="L61" s="1">
        <v>971.8</v>
      </c>
      <c r="M61" s="1">
        <v>75</v>
      </c>
      <c r="N61" s="1">
        <v>9500</v>
      </c>
      <c r="O61" s="1">
        <v>3675</v>
      </c>
      <c r="P61" s="1">
        <v>2.1</v>
      </c>
      <c r="Q61" s="1">
        <v>2.15</v>
      </c>
      <c r="R61" s="1">
        <v>2550</v>
      </c>
      <c r="S61" s="1">
        <v>-1.3</v>
      </c>
      <c r="T61" s="1">
        <v>2.15</v>
      </c>
      <c r="U61" s="1">
        <v>28.6</v>
      </c>
      <c r="V61" s="1">
        <v>25054</v>
      </c>
      <c r="W61" s="1">
        <v>-165700</v>
      </c>
      <c r="X61" s="1">
        <v>3289050</v>
      </c>
      <c r="Y61" s="1" t="s">
        <v>59</v>
      </c>
      <c r="AA61" s="57">
        <f t="shared" si="2"/>
        <v>3.8080930878777353</v>
      </c>
    </row>
    <row r="62" spans="1:27">
      <c r="A62" t="str">
        <f t="shared" si="5"/>
        <v>CE9550</v>
      </c>
      <c r="B62" t="str">
        <f t="shared" si="6"/>
        <v>PE9550</v>
      </c>
      <c r="C62" t="s">
        <v>59</v>
      </c>
      <c r="D62" s="1">
        <v>225</v>
      </c>
      <c r="E62" s="1" t="s">
        <v>14</v>
      </c>
      <c r="F62" s="1" t="s">
        <v>14</v>
      </c>
      <c r="G62" s="1" t="s">
        <v>14</v>
      </c>
      <c r="H62" s="1">
        <v>869.9</v>
      </c>
      <c r="I62" s="1" t="s">
        <v>14</v>
      </c>
      <c r="J62" s="1">
        <v>3000</v>
      </c>
      <c r="K62" s="1">
        <v>897.65</v>
      </c>
      <c r="L62" s="1">
        <v>934.35</v>
      </c>
      <c r="M62" s="1">
        <v>225</v>
      </c>
      <c r="N62" s="1">
        <v>9550</v>
      </c>
      <c r="O62" s="1">
        <v>75</v>
      </c>
      <c r="P62" s="1">
        <v>1.8</v>
      </c>
      <c r="Q62" s="1">
        <v>3.5</v>
      </c>
      <c r="R62" s="1">
        <v>150</v>
      </c>
      <c r="S62" s="1">
        <v>-0.8</v>
      </c>
      <c r="T62" s="1">
        <v>2.2000000000000002</v>
      </c>
      <c r="U62" s="1">
        <v>27.36</v>
      </c>
      <c r="V62" s="1">
        <v>91</v>
      </c>
      <c r="W62" s="1">
        <v>1875</v>
      </c>
      <c r="X62" s="1">
        <v>3150</v>
      </c>
      <c r="Y62" s="1" t="s">
        <v>59</v>
      </c>
      <c r="AA62" s="57">
        <f t="shared" si="2"/>
        <v>14</v>
      </c>
    </row>
    <row r="63" spans="1:27">
      <c r="A63" t="str">
        <f t="shared" si="5"/>
        <v>CE9600</v>
      </c>
      <c r="B63" t="str">
        <f t="shared" si="6"/>
        <v>PE9600</v>
      </c>
      <c r="C63" t="s">
        <v>59</v>
      </c>
      <c r="D63" s="1">
        <v>77625</v>
      </c>
      <c r="E63" s="1">
        <v>-1425</v>
      </c>
      <c r="F63" s="1">
        <v>27</v>
      </c>
      <c r="G63" s="1" t="s">
        <v>14</v>
      </c>
      <c r="H63" s="1">
        <v>867</v>
      </c>
      <c r="I63" s="1">
        <v>58.15</v>
      </c>
      <c r="J63" s="1">
        <v>75</v>
      </c>
      <c r="K63" s="1">
        <v>859.85</v>
      </c>
      <c r="L63" s="1">
        <v>871.6</v>
      </c>
      <c r="M63" s="1">
        <v>75</v>
      </c>
      <c r="N63" s="1">
        <v>9600</v>
      </c>
      <c r="O63" s="1">
        <v>1800</v>
      </c>
      <c r="P63" s="1">
        <v>2.2999999999999998</v>
      </c>
      <c r="Q63" s="1">
        <v>2.4500000000000002</v>
      </c>
      <c r="R63" s="1">
        <v>8550</v>
      </c>
      <c r="S63" s="1">
        <v>-1.8</v>
      </c>
      <c r="T63" s="1">
        <v>2.35</v>
      </c>
      <c r="U63" s="1">
        <v>26.28</v>
      </c>
      <c r="V63" s="1">
        <v>25873</v>
      </c>
      <c r="W63" s="1">
        <v>-42150</v>
      </c>
      <c r="X63" s="1">
        <v>1824125</v>
      </c>
      <c r="Y63" s="1" t="s">
        <v>59</v>
      </c>
      <c r="AA63" s="57">
        <f t="shared" si="2"/>
        <v>23.499194847020934</v>
      </c>
    </row>
    <row r="64" spans="1:27">
      <c r="A64" t="str">
        <f t="shared" si="5"/>
        <v>CE9650</v>
      </c>
      <c r="B64" t="str">
        <f t="shared" si="6"/>
        <v>PE9650</v>
      </c>
      <c r="C64" t="s">
        <v>59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>
        <v>3000</v>
      </c>
      <c r="K64" s="1">
        <v>798.35</v>
      </c>
      <c r="L64" s="1">
        <v>834.5</v>
      </c>
      <c r="M64" s="1">
        <v>3000</v>
      </c>
      <c r="N64" s="1">
        <v>9650</v>
      </c>
      <c r="O64" s="1">
        <v>75</v>
      </c>
      <c r="P64" s="1">
        <v>2.4500000000000002</v>
      </c>
      <c r="Q64" s="1">
        <v>2.7</v>
      </c>
      <c r="R64" s="1">
        <v>150</v>
      </c>
      <c r="S64" s="1">
        <v>-2.1</v>
      </c>
      <c r="T64" s="1">
        <v>2.5499999999999998</v>
      </c>
      <c r="U64" s="1">
        <v>25.24</v>
      </c>
      <c r="V64" s="1">
        <v>370</v>
      </c>
      <c r="W64" s="1">
        <v>-6375</v>
      </c>
      <c r="X64" s="1">
        <v>47250</v>
      </c>
      <c r="Y64" s="1" t="s">
        <v>59</v>
      </c>
      <c r="AA64" s="57" t="e">
        <f>#REF!/#REF!</f>
        <v>#REF!</v>
      </c>
    </row>
    <row r="65" spans="1:27">
      <c r="A65" t="str">
        <f t="shared" si="5"/>
        <v>CE9700</v>
      </c>
      <c r="B65" t="str">
        <f t="shared" si="6"/>
        <v>PE9700</v>
      </c>
      <c r="C65" t="s">
        <v>59</v>
      </c>
      <c r="D65" s="1">
        <v>245700</v>
      </c>
      <c r="E65" s="1">
        <v>-14550</v>
      </c>
      <c r="F65" s="1">
        <v>345</v>
      </c>
      <c r="G65" s="1" t="s">
        <v>14</v>
      </c>
      <c r="H65" s="1">
        <v>772.25</v>
      </c>
      <c r="I65" s="1">
        <v>72.75</v>
      </c>
      <c r="J65" s="1">
        <v>3000</v>
      </c>
      <c r="K65" s="1">
        <v>766</v>
      </c>
      <c r="L65" s="1">
        <v>772.3</v>
      </c>
      <c r="M65" s="1">
        <v>75</v>
      </c>
      <c r="N65" s="1">
        <v>9700</v>
      </c>
      <c r="O65" s="1">
        <v>3075</v>
      </c>
      <c r="P65" s="1">
        <v>2.6</v>
      </c>
      <c r="Q65" s="1">
        <v>2.9</v>
      </c>
      <c r="R65" s="1">
        <v>600</v>
      </c>
      <c r="S65" s="1">
        <v>-2.2999999999999998</v>
      </c>
      <c r="T65" s="1">
        <v>2.7</v>
      </c>
      <c r="U65" s="1">
        <v>24.1</v>
      </c>
      <c r="V65" s="1">
        <v>29684</v>
      </c>
      <c r="W65" s="1">
        <v>300</v>
      </c>
      <c r="X65" s="1">
        <v>2381475</v>
      </c>
      <c r="Y65" s="1" t="s">
        <v>59</v>
      </c>
      <c r="AA65" s="57" t="e">
        <f>#REF!/#REF!</f>
        <v>#REF!</v>
      </c>
    </row>
    <row r="66" spans="1:27">
      <c r="A66" t="str">
        <f t="shared" si="5"/>
        <v>CE9750</v>
      </c>
      <c r="B66" t="str">
        <f t="shared" si="6"/>
        <v>PE9750</v>
      </c>
      <c r="C66" t="s">
        <v>59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v>3000</v>
      </c>
      <c r="K66" s="1">
        <v>698.1</v>
      </c>
      <c r="L66" s="1">
        <v>734.8</v>
      </c>
      <c r="M66" s="1">
        <v>3000</v>
      </c>
      <c r="N66" s="1">
        <v>9750</v>
      </c>
      <c r="O66" s="1">
        <v>75</v>
      </c>
      <c r="P66" s="1">
        <v>2.85</v>
      </c>
      <c r="Q66" s="1">
        <v>3</v>
      </c>
      <c r="R66" s="1">
        <v>75</v>
      </c>
      <c r="S66" s="1">
        <v>-2.7</v>
      </c>
      <c r="T66" s="1">
        <v>2.95</v>
      </c>
      <c r="U66" s="1">
        <v>23.05</v>
      </c>
      <c r="V66" s="1">
        <v>1029</v>
      </c>
      <c r="W66" s="1">
        <v>-15375</v>
      </c>
      <c r="X66" s="1">
        <v>36825</v>
      </c>
      <c r="Y66" s="1" t="s">
        <v>59</v>
      </c>
      <c r="AA66" s="57" t="e">
        <f>#REF!/#REF!</f>
        <v>#REF!</v>
      </c>
    </row>
    <row r="67" spans="1:27">
      <c r="A67" t="str">
        <f t="shared" si="5"/>
        <v>CE9800</v>
      </c>
      <c r="B67" t="str">
        <f t="shared" si="6"/>
        <v>PE9800</v>
      </c>
      <c r="C67" t="s">
        <v>59</v>
      </c>
      <c r="D67" s="1">
        <v>229200</v>
      </c>
      <c r="E67" s="1">
        <v>-6750</v>
      </c>
      <c r="F67" s="1">
        <v>220</v>
      </c>
      <c r="G67" s="1" t="s">
        <v>14</v>
      </c>
      <c r="H67" s="1">
        <v>670</v>
      </c>
      <c r="I67" s="1">
        <v>61.45</v>
      </c>
      <c r="J67" s="1">
        <v>75</v>
      </c>
      <c r="K67" s="1">
        <v>664.6</v>
      </c>
      <c r="L67" s="1">
        <v>670.4</v>
      </c>
      <c r="M67" s="1">
        <v>150</v>
      </c>
      <c r="N67" s="1">
        <v>9800</v>
      </c>
      <c r="O67" s="1">
        <v>1425</v>
      </c>
      <c r="P67" s="1">
        <v>3.4</v>
      </c>
      <c r="Q67" s="1">
        <v>3.5</v>
      </c>
      <c r="R67" s="1">
        <v>1350</v>
      </c>
      <c r="S67" s="1">
        <v>-3.25</v>
      </c>
      <c r="T67" s="1">
        <v>3.4</v>
      </c>
      <c r="U67" s="1">
        <v>22.17</v>
      </c>
      <c r="V67" s="1">
        <v>36802</v>
      </c>
      <c r="W67" s="1">
        <v>-56250</v>
      </c>
      <c r="X67" s="1">
        <v>4252650</v>
      </c>
      <c r="Y67" s="1" t="s">
        <v>59</v>
      </c>
      <c r="AA67" s="57" t="e">
        <f>#REF!/#REF!</f>
        <v>#REF!</v>
      </c>
    </row>
    <row r="68" spans="1:27">
      <c r="A68" t="str">
        <f t="shared" si="5"/>
        <v>CE9850</v>
      </c>
      <c r="B68" t="str">
        <f t="shared" si="6"/>
        <v>PE9850</v>
      </c>
      <c r="C68" t="s">
        <v>59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v>3000</v>
      </c>
      <c r="K68" s="1">
        <v>598.95000000000005</v>
      </c>
      <c r="L68" s="1">
        <v>637.75</v>
      </c>
      <c r="M68" s="1">
        <v>3000</v>
      </c>
      <c r="N68" s="1">
        <v>9850</v>
      </c>
      <c r="O68" s="1">
        <v>3000</v>
      </c>
      <c r="P68" s="1">
        <v>3.9</v>
      </c>
      <c r="Q68" s="1">
        <v>6</v>
      </c>
      <c r="R68" s="1">
        <v>975</v>
      </c>
      <c r="S68" s="1">
        <v>-3.4</v>
      </c>
      <c r="T68" s="1">
        <v>4.3499999999999996</v>
      </c>
      <c r="U68" s="1">
        <v>21.65</v>
      </c>
      <c r="V68" s="1">
        <v>1416</v>
      </c>
      <c r="W68" s="1">
        <v>-10425</v>
      </c>
      <c r="X68" s="1">
        <v>63600</v>
      </c>
      <c r="Y68" s="1" t="s">
        <v>59</v>
      </c>
      <c r="AA68" s="57" t="e">
        <f>#REF!/#REF!</f>
        <v>#REF!</v>
      </c>
    </row>
    <row r="69" spans="1:27">
      <c r="A69" t="str">
        <f t="shared" si="5"/>
        <v>CE9900</v>
      </c>
      <c r="B69" t="str">
        <f t="shared" si="6"/>
        <v>PE9900</v>
      </c>
      <c r="C69" t="s">
        <v>59</v>
      </c>
      <c r="D69" s="1">
        <v>265125</v>
      </c>
      <c r="E69" s="1">
        <v>-6300</v>
      </c>
      <c r="F69" s="1">
        <v>211</v>
      </c>
      <c r="G69" s="1" t="s">
        <v>14</v>
      </c>
      <c r="H69" s="1">
        <v>570.9</v>
      </c>
      <c r="I69" s="1">
        <v>62.15</v>
      </c>
      <c r="J69" s="1">
        <v>75</v>
      </c>
      <c r="K69" s="1">
        <v>569</v>
      </c>
      <c r="L69" s="1">
        <v>573.35</v>
      </c>
      <c r="M69" s="1">
        <v>75</v>
      </c>
      <c r="N69" s="1">
        <v>9900</v>
      </c>
      <c r="O69" s="1">
        <v>1200</v>
      </c>
      <c r="P69" s="1">
        <v>4.4000000000000004</v>
      </c>
      <c r="Q69" s="1">
        <v>4.5999999999999996</v>
      </c>
      <c r="R69" s="1">
        <v>75</v>
      </c>
      <c r="S69" s="1">
        <v>-5.15</v>
      </c>
      <c r="T69" s="1">
        <v>4.4000000000000004</v>
      </c>
      <c r="U69" s="1">
        <v>20.239999999999998</v>
      </c>
      <c r="V69" s="1">
        <v>44264</v>
      </c>
      <c r="W69" s="1">
        <v>148500</v>
      </c>
      <c r="X69" s="1">
        <v>2556225</v>
      </c>
      <c r="Y69" s="1" t="s">
        <v>59</v>
      </c>
      <c r="AA69" s="57" t="e">
        <f>#REF!/#REF!</f>
        <v>#REF!</v>
      </c>
    </row>
    <row r="70" spans="1:27">
      <c r="A70" t="str">
        <f t="shared" si="5"/>
        <v>CE9950</v>
      </c>
      <c r="B70" t="str">
        <f t="shared" si="6"/>
        <v>PE9950</v>
      </c>
      <c r="C70" t="s">
        <v>59</v>
      </c>
      <c r="D70" s="1">
        <v>975</v>
      </c>
      <c r="E70" s="1" t="s">
        <v>14</v>
      </c>
      <c r="F70" s="1" t="s">
        <v>14</v>
      </c>
      <c r="G70" s="1" t="s">
        <v>14</v>
      </c>
      <c r="H70" s="1">
        <v>297.35000000000002</v>
      </c>
      <c r="I70" s="1" t="s">
        <v>14</v>
      </c>
      <c r="J70" s="1">
        <v>3000</v>
      </c>
      <c r="K70" s="1">
        <v>507</v>
      </c>
      <c r="L70" s="1">
        <v>542.54999999999995</v>
      </c>
      <c r="M70" s="1">
        <v>3000</v>
      </c>
      <c r="N70" s="1">
        <v>9950</v>
      </c>
      <c r="O70" s="1">
        <v>375</v>
      </c>
      <c r="P70" s="1">
        <v>5.3</v>
      </c>
      <c r="Q70" s="1">
        <v>5.55</v>
      </c>
      <c r="R70" s="1">
        <v>75</v>
      </c>
      <c r="S70" s="1">
        <v>-5.45</v>
      </c>
      <c r="T70" s="1">
        <v>5.5</v>
      </c>
      <c r="U70" s="1">
        <v>19.57</v>
      </c>
      <c r="V70" s="1">
        <v>2331</v>
      </c>
      <c r="W70" s="1">
        <v>23100</v>
      </c>
      <c r="X70" s="1">
        <v>155025</v>
      </c>
      <c r="Y70" s="1" t="s">
        <v>59</v>
      </c>
      <c r="AA70" s="57" t="e">
        <f>#REF!/#REF!</f>
        <v>#REF!</v>
      </c>
    </row>
    <row r="71" spans="1:27">
      <c r="A71" t="str">
        <f t="shared" si="5"/>
        <v>CE10000</v>
      </c>
      <c r="B71" t="str">
        <f t="shared" si="6"/>
        <v>PE10000</v>
      </c>
      <c r="C71" t="s">
        <v>59</v>
      </c>
      <c r="D71" s="1">
        <v>2200725</v>
      </c>
      <c r="E71" s="1">
        <v>-14925</v>
      </c>
      <c r="F71" s="1">
        <v>3922</v>
      </c>
      <c r="G71" s="1" t="s">
        <v>14</v>
      </c>
      <c r="H71" s="1">
        <v>475</v>
      </c>
      <c r="I71" s="1">
        <v>58.05</v>
      </c>
      <c r="J71" s="1">
        <v>225</v>
      </c>
      <c r="K71" s="1">
        <v>475</v>
      </c>
      <c r="L71" s="1">
        <v>477.15</v>
      </c>
      <c r="M71" s="1">
        <v>75</v>
      </c>
      <c r="N71" s="1">
        <v>10000</v>
      </c>
      <c r="O71" s="1">
        <v>1500</v>
      </c>
      <c r="P71" s="1">
        <v>6.65</v>
      </c>
      <c r="Q71" s="1">
        <v>6.75</v>
      </c>
      <c r="R71" s="1">
        <v>2325</v>
      </c>
      <c r="S71" s="1">
        <v>-6.75</v>
      </c>
      <c r="T71" s="1">
        <v>6.75</v>
      </c>
      <c r="U71" s="1">
        <v>18.809999999999999</v>
      </c>
      <c r="V71" s="1">
        <v>96265</v>
      </c>
      <c r="W71" s="1">
        <v>151875</v>
      </c>
      <c r="X71" s="1">
        <v>8299875</v>
      </c>
      <c r="Y71" s="1" t="s">
        <v>59</v>
      </c>
      <c r="AA71" s="57" t="e">
        <f>#REF!/#REF!</f>
        <v>#REF!</v>
      </c>
    </row>
    <row r="72" spans="1:27">
      <c r="A72" t="str">
        <f t="shared" si="5"/>
        <v>CE10050</v>
      </c>
      <c r="B72" t="str">
        <f t="shared" si="6"/>
        <v>PE10050</v>
      </c>
      <c r="C72" t="s">
        <v>59</v>
      </c>
      <c r="D72" s="1">
        <v>31725</v>
      </c>
      <c r="E72" s="1">
        <v>-1125</v>
      </c>
      <c r="F72" s="1">
        <v>34</v>
      </c>
      <c r="G72" s="1" t="s">
        <v>14</v>
      </c>
      <c r="H72" s="1">
        <v>420.15</v>
      </c>
      <c r="I72" s="1">
        <v>56.95</v>
      </c>
      <c r="J72" s="1">
        <v>3000</v>
      </c>
      <c r="K72" s="1">
        <v>409.75</v>
      </c>
      <c r="L72" s="1">
        <v>426.15</v>
      </c>
      <c r="M72" s="1">
        <v>75</v>
      </c>
      <c r="N72" s="1">
        <v>10050</v>
      </c>
      <c r="O72" s="1">
        <v>75</v>
      </c>
      <c r="P72" s="1">
        <v>7.9</v>
      </c>
      <c r="Q72" s="1">
        <v>8.25</v>
      </c>
      <c r="R72" s="1">
        <v>150</v>
      </c>
      <c r="S72" s="1">
        <v>-8.1</v>
      </c>
      <c r="T72" s="1">
        <v>8.0500000000000007</v>
      </c>
      <c r="U72" s="1">
        <v>17.91</v>
      </c>
      <c r="V72" s="1">
        <v>3914</v>
      </c>
      <c r="W72" s="1">
        <v>5400</v>
      </c>
      <c r="X72" s="1">
        <v>183000</v>
      </c>
      <c r="Y72" s="1" t="s">
        <v>59</v>
      </c>
      <c r="AA72" s="57" t="e">
        <f>#REF!/#REF!</f>
        <v>#REF!</v>
      </c>
    </row>
    <row r="73" spans="1:27">
      <c r="A73" t="str">
        <f t="shared" si="5"/>
        <v>CE10100</v>
      </c>
      <c r="B73" t="str">
        <f t="shared" si="6"/>
        <v>PE10100</v>
      </c>
      <c r="C73" t="s">
        <v>59</v>
      </c>
      <c r="D73" s="1">
        <v>1290675</v>
      </c>
      <c r="E73" s="1">
        <v>-54150</v>
      </c>
      <c r="F73" s="1">
        <v>3985</v>
      </c>
      <c r="G73" s="1" t="s">
        <v>14</v>
      </c>
      <c r="H73" s="1">
        <v>379.7</v>
      </c>
      <c r="I73" s="1">
        <v>57.25</v>
      </c>
      <c r="J73" s="1">
        <v>300</v>
      </c>
      <c r="K73" s="1">
        <v>374.55</v>
      </c>
      <c r="L73" s="1">
        <v>379.95</v>
      </c>
      <c r="M73" s="1">
        <v>75</v>
      </c>
      <c r="N73" s="1">
        <v>10100</v>
      </c>
      <c r="O73" s="1">
        <v>300</v>
      </c>
      <c r="P73" s="1">
        <v>9.5500000000000007</v>
      </c>
      <c r="Q73" s="1">
        <v>9.75</v>
      </c>
      <c r="R73" s="1">
        <v>525</v>
      </c>
      <c r="S73" s="1">
        <v>-10.199999999999999</v>
      </c>
      <c r="T73" s="1">
        <v>9.5500000000000007</v>
      </c>
      <c r="U73" s="1">
        <v>16.93</v>
      </c>
      <c r="V73" s="1">
        <v>92876</v>
      </c>
      <c r="W73" s="1">
        <v>136275</v>
      </c>
      <c r="X73" s="1">
        <v>4283550</v>
      </c>
      <c r="Y73" s="1" t="s">
        <v>59</v>
      </c>
      <c r="AA73" s="57" t="e">
        <f>#REF!/#REF!</f>
        <v>#REF!</v>
      </c>
    </row>
    <row r="74" spans="1:27">
      <c r="A74" t="str">
        <f t="shared" si="5"/>
        <v>CE10150</v>
      </c>
      <c r="B74" t="str">
        <f t="shared" si="6"/>
        <v>PE10150</v>
      </c>
      <c r="C74" t="s">
        <v>59</v>
      </c>
      <c r="D74" s="1">
        <v>74025</v>
      </c>
      <c r="E74" s="1">
        <v>-8250</v>
      </c>
      <c r="F74" s="1">
        <v>259</v>
      </c>
      <c r="G74" s="1" t="s">
        <v>14</v>
      </c>
      <c r="H74" s="1">
        <v>322.64999999999998</v>
      </c>
      <c r="I74" s="1">
        <v>51.75</v>
      </c>
      <c r="J74" s="1">
        <v>600</v>
      </c>
      <c r="K74" s="1">
        <v>318.85000000000002</v>
      </c>
      <c r="L74" s="1">
        <v>326.45</v>
      </c>
      <c r="M74" s="1">
        <v>75</v>
      </c>
      <c r="N74" s="1">
        <v>10150</v>
      </c>
      <c r="O74" s="1">
        <v>300</v>
      </c>
      <c r="P74" s="1">
        <v>11.6</v>
      </c>
      <c r="Q74" s="1">
        <v>11.8</v>
      </c>
      <c r="R74" s="1">
        <v>300</v>
      </c>
      <c r="S74" s="1">
        <v>-11.6</v>
      </c>
      <c r="T74" s="1">
        <v>12</v>
      </c>
      <c r="U74" s="1">
        <v>16.149999999999999</v>
      </c>
      <c r="V74" s="1">
        <v>8605</v>
      </c>
      <c r="W74" s="1">
        <v>46725</v>
      </c>
      <c r="X74" s="1">
        <v>545925</v>
      </c>
      <c r="Y74" s="1" t="s">
        <v>59</v>
      </c>
      <c r="AA74" s="57" t="e">
        <f>#REF!/#REF!</f>
        <v>#REF!</v>
      </c>
    </row>
    <row r="75" spans="1:27">
      <c r="A75" t="str">
        <f t="shared" si="5"/>
        <v>CE10200</v>
      </c>
      <c r="B75" t="str">
        <f t="shared" si="6"/>
        <v>PE10200</v>
      </c>
      <c r="C75" t="s">
        <v>59</v>
      </c>
      <c r="D75" s="1">
        <v>1917450</v>
      </c>
      <c r="E75" s="1">
        <v>-267375</v>
      </c>
      <c r="F75" s="1">
        <v>15241</v>
      </c>
      <c r="G75" s="1" t="s">
        <v>14</v>
      </c>
      <c r="H75" s="1">
        <v>283.75</v>
      </c>
      <c r="I75" s="1">
        <v>53.35</v>
      </c>
      <c r="J75" s="1">
        <v>75</v>
      </c>
      <c r="K75" s="1">
        <v>281.89999999999998</v>
      </c>
      <c r="L75" s="1">
        <v>283.95</v>
      </c>
      <c r="M75" s="1">
        <v>300</v>
      </c>
      <c r="N75" s="1">
        <v>10200</v>
      </c>
      <c r="O75" s="1">
        <v>600</v>
      </c>
      <c r="P75" s="1">
        <v>15.25</v>
      </c>
      <c r="Q75" s="1">
        <v>15.4</v>
      </c>
      <c r="R75" s="1">
        <v>150</v>
      </c>
      <c r="S75" s="1">
        <v>-14.5</v>
      </c>
      <c r="T75" s="1">
        <v>15.45</v>
      </c>
      <c r="U75" s="1">
        <v>15.44</v>
      </c>
      <c r="V75" s="1">
        <v>160229</v>
      </c>
      <c r="W75" s="1">
        <v>33900</v>
      </c>
      <c r="X75" s="1">
        <v>5084450</v>
      </c>
      <c r="Y75" s="1" t="s">
        <v>59</v>
      </c>
      <c r="AA75" s="57" t="e">
        <f>#REF!/#REF!</f>
        <v>#REF!</v>
      </c>
    </row>
    <row r="76" spans="1:27">
      <c r="A76" t="str">
        <f t="shared" si="5"/>
        <v>CE10250</v>
      </c>
      <c r="B76" t="str">
        <f t="shared" si="6"/>
        <v>PE10250</v>
      </c>
      <c r="C76" t="s">
        <v>59</v>
      </c>
      <c r="D76" s="1">
        <v>196425</v>
      </c>
      <c r="E76" s="1">
        <v>675</v>
      </c>
      <c r="F76" s="1">
        <v>1598</v>
      </c>
      <c r="G76" s="1" t="s">
        <v>14</v>
      </c>
      <c r="H76" s="1">
        <v>231</v>
      </c>
      <c r="I76" s="1">
        <v>45</v>
      </c>
      <c r="J76" s="1">
        <v>75</v>
      </c>
      <c r="K76" s="1">
        <v>230</v>
      </c>
      <c r="L76" s="1">
        <v>234.1</v>
      </c>
      <c r="M76" s="1">
        <v>75</v>
      </c>
      <c r="N76" s="1">
        <v>10250</v>
      </c>
      <c r="O76" s="1">
        <v>75</v>
      </c>
      <c r="P76" s="1">
        <v>19.350000000000001</v>
      </c>
      <c r="Q76" s="1">
        <v>20.7</v>
      </c>
      <c r="R76" s="1">
        <v>75</v>
      </c>
      <c r="S76" s="1">
        <v>-15.85</v>
      </c>
      <c r="T76" s="1">
        <v>21.15</v>
      </c>
      <c r="U76" s="1">
        <v>15</v>
      </c>
      <c r="V76" s="1">
        <v>37897</v>
      </c>
      <c r="W76" s="1">
        <v>427800</v>
      </c>
      <c r="X76" s="1">
        <v>915000</v>
      </c>
      <c r="Y76" s="1" t="s">
        <v>59</v>
      </c>
      <c r="AA76" s="57" t="e">
        <f>#REF!/#REF!</f>
        <v>#REF!</v>
      </c>
    </row>
    <row r="77" spans="1:27">
      <c r="A77" t="str">
        <f t="shared" si="5"/>
        <v>CE10300</v>
      </c>
      <c r="B77" t="str">
        <f t="shared" si="6"/>
        <v>PE10300</v>
      </c>
      <c r="C77" t="s">
        <v>59</v>
      </c>
      <c r="D77" s="1">
        <v>2573700</v>
      </c>
      <c r="E77" s="1">
        <v>-195975</v>
      </c>
      <c r="F77" s="1">
        <v>43354</v>
      </c>
      <c r="G77" s="1">
        <v>8.19</v>
      </c>
      <c r="H77" s="1">
        <v>193.3</v>
      </c>
      <c r="I77" s="1">
        <v>44.15</v>
      </c>
      <c r="J77" s="1">
        <v>75</v>
      </c>
      <c r="K77" s="1">
        <v>189</v>
      </c>
      <c r="L77" s="1">
        <v>193.3</v>
      </c>
      <c r="M77" s="1">
        <v>75</v>
      </c>
      <c r="N77" s="1">
        <v>10300</v>
      </c>
      <c r="O77" s="1">
        <v>5475</v>
      </c>
      <c r="P77" s="1">
        <v>25.5</v>
      </c>
      <c r="Q77" s="1">
        <v>25.65</v>
      </c>
      <c r="R77" s="1">
        <v>75</v>
      </c>
      <c r="S77" s="1">
        <v>-21.75</v>
      </c>
      <c r="T77" s="1">
        <v>25.65</v>
      </c>
      <c r="U77" s="1">
        <v>13.9</v>
      </c>
      <c r="V77" s="1">
        <v>222344</v>
      </c>
      <c r="W77" s="1">
        <v>420300</v>
      </c>
      <c r="X77" s="1">
        <v>4980975</v>
      </c>
      <c r="Y77" s="1" t="s">
        <v>59</v>
      </c>
      <c r="AA77" s="57" t="e">
        <f>#REF!/#REF!</f>
        <v>#REF!</v>
      </c>
    </row>
    <row r="78" spans="1:27">
      <c r="A78" t="str">
        <f t="shared" si="5"/>
        <v>CE10350</v>
      </c>
      <c r="B78" t="str">
        <f t="shared" si="6"/>
        <v>PE10350</v>
      </c>
      <c r="C78" t="s">
        <v>59</v>
      </c>
      <c r="D78" s="1">
        <v>356025</v>
      </c>
      <c r="E78" s="1">
        <v>-1125</v>
      </c>
      <c r="F78" s="1">
        <v>7043</v>
      </c>
      <c r="G78" s="1">
        <v>7.24</v>
      </c>
      <c r="H78" s="1">
        <v>145.69999999999999</v>
      </c>
      <c r="I78" s="1">
        <v>33.4</v>
      </c>
      <c r="J78" s="1">
        <v>75</v>
      </c>
      <c r="K78" s="1">
        <v>145.30000000000001</v>
      </c>
      <c r="L78" s="1">
        <v>146.94999999999999</v>
      </c>
      <c r="M78" s="1">
        <v>75</v>
      </c>
      <c r="N78" s="1">
        <v>10350</v>
      </c>
      <c r="O78" s="1">
        <v>75</v>
      </c>
      <c r="P78" s="1">
        <v>32.15</v>
      </c>
      <c r="Q78" s="1">
        <v>32.9</v>
      </c>
      <c r="R78" s="1">
        <v>75</v>
      </c>
      <c r="S78" s="1">
        <v>-27.3</v>
      </c>
      <c r="T78" s="1">
        <v>32.950000000000003</v>
      </c>
      <c r="U78" s="1">
        <v>13.04</v>
      </c>
      <c r="V78" s="1">
        <v>51547</v>
      </c>
      <c r="W78" s="1">
        <v>769800</v>
      </c>
      <c r="X78" s="1">
        <v>1310400</v>
      </c>
      <c r="Y78" s="1" t="s">
        <v>59</v>
      </c>
      <c r="AA78" s="57" t="e">
        <f>#REF!/#REF!</f>
        <v>#REF!</v>
      </c>
    </row>
    <row r="79" spans="1:27">
      <c r="A79" t="str">
        <f t="shared" si="5"/>
        <v>CE10400</v>
      </c>
      <c r="B79" t="str">
        <f t="shared" si="6"/>
        <v>PE10400</v>
      </c>
      <c r="C79" t="s">
        <v>59</v>
      </c>
      <c r="D79" s="1">
        <v>3700650</v>
      </c>
      <c r="E79" s="1">
        <v>-429525</v>
      </c>
      <c r="F79" s="1">
        <v>190971</v>
      </c>
      <c r="G79" s="1">
        <v>8.17</v>
      </c>
      <c r="H79" s="1">
        <v>109.1</v>
      </c>
      <c r="I79" s="1">
        <v>25.95</v>
      </c>
      <c r="J79" s="1">
        <v>3900</v>
      </c>
      <c r="K79" s="1">
        <v>109.1</v>
      </c>
      <c r="L79" s="1">
        <v>110</v>
      </c>
      <c r="M79" s="1">
        <v>37950</v>
      </c>
      <c r="N79" s="1">
        <v>10400</v>
      </c>
      <c r="O79" s="1">
        <v>5775</v>
      </c>
      <c r="P79" s="1">
        <v>44</v>
      </c>
      <c r="Q79" s="1">
        <v>44.25</v>
      </c>
      <c r="R79" s="1">
        <v>150</v>
      </c>
      <c r="S79" s="1">
        <v>-34.65</v>
      </c>
      <c r="T79" s="1">
        <v>44.05</v>
      </c>
      <c r="U79" s="1">
        <v>12.38</v>
      </c>
      <c r="V79" s="1">
        <v>291449</v>
      </c>
      <c r="W79" s="1">
        <v>1931725</v>
      </c>
      <c r="X79" s="1">
        <v>5173325</v>
      </c>
      <c r="Y79" s="1" t="s">
        <v>59</v>
      </c>
      <c r="AA79" s="57" t="e">
        <f>#REF!/#REF!</f>
        <v>#REF!</v>
      </c>
    </row>
    <row r="80" spans="1:27">
      <c r="A80" t="str">
        <f t="shared" si="5"/>
        <v>CE10450</v>
      </c>
      <c r="B80" t="str">
        <f t="shared" si="6"/>
        <v>PE10450</v>
      </c>
      <c r="C80" t="s">
        <v>59</v>
      </c>
      <c r="D80" s="1">
        <v>846450</v>
      </c>
      <c r="E80" s="1">
        <v>-44625</v>
      </c>
      <c r="F80" s="1">
        <v>38558</v>
      </c>
      <c r="G80" s="1">
        <v>8.42</v>
      </c>
      <c r="H80" s="1">
        <v>76.75</v>
      </c>
      <c r="I80" s="1">
        <v>18.850000000000001</v>
      </c>
      <c r="J80" s="1">
        <v>3000</v>
      </c>
      <c r="K80" s="1">
        <v>76.75</v>
      </c>
      <c r="L80" s="1">
        <v>77</v>
      </c>
      <c r="M80" s="1">
        <v>675</v>
      </c>
      <c r="N80" s="1">
        <v>10450</v>
      </c>
      <c r="O80" s="1">
        <v>150</v>
      </c>
      <c r="P80" s="1">
        <v>57.95</v>
      </c>
      <c r="Q80" s="1">
        <v>58.95</v>
      </c>
      <c r="R80" s="1">
        <v>75</v>
      </c>
      <c r="S80" s="1">
        <v>-43</v>
      </c>
      <c r="T80" s="1">
        <v>58.25</v>
      </c>
      <c r="U80" s="1">
        <v>11.64</v>
      </c>
      <c r="V80" s="1">
        <v>26160</v>
      </c>
      <c r="W80" s="1">
        <v>359700</v>
      </c>
      <c r="X80" s="1">
        <v>853875</v>
      </c>
      <c r="Y80" s="1" t="s">
        <v>59</v>
      </c>
      <c r="AA80" s="57" t="e">
        <f>#REF!/#REF!</f>
        <v>#REF!</v>
      </c>
    </row>
    <row r="81" spans="1:66">
      <c r="A81" t="str">
        <f t="shared" si="5"/>
        <v>CE10500</v>
      </c>
      <c r="B81" t="str">
        <f t="shared" si="6"/>
        <v>PE10500</v>
      </c>
      <c r="C81" t="s">
        <v>59</v>
      </c>
      <c r="D81" s="1">
        <v>6250875</v>
      </c>
      <c r="E81" s="1">
        <v>-991725</v>
      </c>
      <c r="F81" s="1">
        <v>256003</v>
      </c>
      <c r="G81" s="1">
        <v>8.56</v>
      </c>
      <c r="H81" s="1">
        <v>50.85</v>
      </c>
      <c r="I81" s="1">
        <v>11.4</v>
      </c>
      <c r="J81" s="1">
        <v>1800</v>
      </c>
      <c r="K81" s="1">
        <v>50.85</v>
      </c>
      <c r="L81" s="1">
        <v>51</v>
      </c>
      <c r="M81" s="1">
        <v>23100</v>
      </c>
      <c r="N81" s="1">
        <v>10500</v>
      </c>
      <c r="O81" s="1">
        <v>75</v>
      </c>
      <c r="P81" s="1">
        <v>80.849999999999994</v>
      </c>
      <c r="Q81" s="1">
        <v>81.95</v>
      </c>
      <c r="R81" s="1">
        <v>225</v>
      </c>
      <c r="S81" s="1">
        <v>-50.75</v>
      </c>
      <c r="T81" s="1">
        <v>81.95</v>
      </c>
      <c r="U81" s="1">
        <v>11.64</v>
      </c>
      <c r="V81" s="1">
        <v>73830</v>
      </c>
      <c r="W81" s="1">
        <v>510525</v>
      </c>
      <c r="X81" s="1">
        <v>1953650</v>
      </c>
      <c r="Y81" s="1" t="s">
        <v>59</v>
      </c>
      <c r="AA81" s="57" t="e">
        <f>#REF!/#REF!</f>
        <v>#REF!</v>
      </c>
    </row>
    <row r="82" spans="1:66">
      <c r="A82" t="str">
        <f t="shared" si="5"/>
        <v>CE10550</v>
      </c>
      <c r="B82" t="str">
        <f t="shared" si="6"/>
        <v>PE10550</v>
      </c>
      <c r="C82" t="s">
        <v>59</v>
      </c>
      <c r="D82" s="1">
        <v>648375</v>
      </c>
      <c r="E82" s="1">
        <v>127125</v>
      </c>
      <c r="F82" s="1">
        <v>19801</v>
      </c>
      <c r="G82" s="1">
        <v>8.6</v>
      </c>
      <c r="H82" s="1">
        <v>31.25</v>
      </c>
      <c r="I82" s="1">
        <v>5.9</v>
      </c>
      <c r="J82" s="1">
        <v>450</v>
      </c>
      <c r="K82" s="1">
        <v>31.2</v>
      </c>
      <c r="L82" s="1">
        <v>31.5</v>
      </c>
      <c r="M82" s="1">
        <v>375</v>
      </c>
      <c r="N82" s="1">
        <v>10550</v>
      </c>
      <c r="O82" s="1">
        <v>675</v>
      </c>
      <c r="P82" s="1">
        <v>108</v>
      </c>
      <c r="Q82" s="1">
        <v>110.65</v>
      </c>
      <c r="R82" s="1">
        <v>75</v>
      </c>
      <c r="S82" s="1">
        <v>-59.45</v>
      </c>
      <c r="T82" s="1">
        <v>108.15</v>
      </c>
      <c r="U82" s="1">
        <v>11.22</v>
      </c>
      <c r="V82" s="1">
        <v>723</v>
      </c>
      <c r="W82" s="1">
        <v>23625</v>
      </c>
      <c r="X82" s="1">
        <v>26250</v>
      </c>
      <c r="Y82" s="1" t="s">
        <v>59</v>
      </c>
      <c r="AA82" s="57" t="e">
        <f>#REF!/#REF!</f>
        <v>#REF!</v>
      </c>
    </row>
    <row r="83" spans="1:66">
      <c r="A83" t="str">
        <f t="shared" si="5"/>
        <v>CE10600</v>
      </c>
      <c r="B83" t="str">
        <f t="shared" si="6"/>
        <v>PE10600</v>
      </c>
      <c r="C83" t="s">
        <v>59</v>
      </c>
      <c r="D83" s="1">
        <v>4370925</v>
      </c>
      <c r="E83" s="1">
        <v>-343275</v>
      </c>
      <c r="F83" s="1">
        <v>154120</v>
      </c>
      <c r="G83" s="1">
        <v>8.6</v>
      </c>
      <c r="H83" s="1">
        <v>17.7</v>
      </c>
      <c r="I83" s="1">
        <v>1.5</v>
      </c>
      <c r="J83" s="1">
        <v>75</v>
      </c>
      <c r="K83" s="1">
        <v>17.5</v>
      </c>
      <c r="L83" s="1">
        <v>17.899999999999999</v>
      </c>
      <c r="M83" s="1">
        <v>75</v>
      </c>
      <c r="N83" s="1">
        <v>10600</v>
      </c>
      <c r="O83" s="1">
        <v>75</v>
      </c>
      <c r="P83" s="1">
        <v>144.9</v>
      </c>
      <c r="Q83" s="1">
        <v>148.94999999999999</v>
      </c>
      <c r="R83" s="1">
        <v>75</v>
      </c>
      <c r="S83" s="1">
        <v>-64</v>
      </c>
      <c r="T83" s="1">
        <v>144.94999999999999</v>
      </c>
      <c r="U83" s="1">
        <v>11.73</v>
      </c>
      <c r="V83" s="1">
        <v>10049</v>
      </c>
      <c r="W83" s="1">
        <v>129900</v>
      </c>
      <c r="X83" s="1">
        <v>554500</v>
      </c>
      <c r="Y83" s="1" t="s">
        <v>59</v>
      </c>
      <c r="AA83" s="57" t="e">
        <f>#REF!/#REF!</f>
        <v>#REF!</v>
      </c>
    </row>
    <row r="84" spans="1:66">
      <c r="A84" t="str">
        <f t="shared" si="5"/>
        <v>CE10650</v>
      </c>
      <c r="B84" t="str">
        <f t="shared" si="6"/>
        <v>PE10650</v>
      </c>
      <c r="C84" t="s">
        <v>59</v>
      </c>
      <c r="D84" s="1">
        <v>477675</v>
      </c>
      <c r="E84" s="1">
        <v>1200</v>
      </c>
      <c r="F84" s="1">
        <v>11265</v>
      </c>
      <c r="G84" s="1">
        <v>8.6199999999999992</v>
      </c>
      <c r="H84" s="1">
        <v>9.3000000000000007</v>
      </c>
      <c r="I84" s="1">
        <v>-0.3</v>
      </c>
      <c r="J84" s="1">
        <v>300</v>
      </c>
      <c r="K84" s="1">
        <v>9.3000000000000007</v>
      </c>
      <c r="L84" s="1">
        <v>9.35</v>
      </c>
      <c r="M84" s="1">
        <v>300</v>
      </c>
      <c r="N84" s="1">
        <v>10650</v>
      </c>
      <c r="O84" s="1">
        <v>3000</v>
      </c>
      <c r="P84" s="1">
        <v>163.75</v>
      </c>
      <c r="Q84" s="1">
        <v>199.2</v>
      </c>
      <c r="R84" s="1">
        <v>150</v>
      </c>
      <c r="S84" s="1">
        <v>-38.950000000000003</v>
      </c>
      <c r="T84" s="1">
        <v>220</v>
      </c>
      <c r="U84" s="1">
        <v>18.690000000000001</v>
      </c>
      <c r="V84" s="1">
        <v>5</v>
      </c>
      <c r="W84" s="1">
        <v>225</v>
      </c>
      <c r="X84" s="1">
        <v>525</v>
      </c>
      <c r="Y84" s="1" t="s">
        <v>59</v>
      </c>
      <c r="AA84" s="57" t="e">
        <f>#REF!/#REF!</f>
        <v>#REF!</v>
      </c>
    </row>
    <row r="85" spans="1:66">
      <c r="A85" t="str">
        <f t="shared" si="5"/>
        <v>CE10700</v>
      </c>
      <c r="B85" t="str">
        <f t="shared" si="6"/>
        <v>PE10700</v>
      </c>
      <c r="C85" t="s">
        <v>59</v>
      </c>
      <c r="D85" s="1">
        <v>3364200</v>
      </c>
      <c r="E85" s="1">
        <v>-324600</v>
      </c>
      <c r="F85" s="1">
        <v>76142</v>
      </c>
      <c r="G85" s="1">
        <v>8.99</v>
      </c>
      <c r="H85" s="1">
        <v>5.35</v>
      </c>
      <c r="I85" s="1">
        <v>-1.25</v>
      </c>
      <c r="J85" s="1">
        <v>75</v>
      </c>
      <c r="K85" s="1">
        <v>5.25</v>
      </c>
      <c r="L85" s="1">
        <v>5.35</v>
      </c>
      <c r="M85" s="1">
        <v>2775</v>
      </c>
      <c r="N85" s="1">
        <v>10700</v>
      </c>
      <c r="O85" s="1">
        <v>75</v>
      </c>
      <c r="P85" s="1">
        <v>228.7</v>
      </c>
      <c r="Q85" s="1">
        <v>232</v>
      </c>
      <c r="R85" s="1">
        <v>300</v>
      </c>
      <c r="S85" s="1">
        <v>-67.55</v>
      </c>
      <c r="T85" s="1">
        <v>228.9</v>
      </c>
      <c r="U85" s="1">
        <v>12.91</v>
      </c>
      <c r="V85" s="1">
        <v>3309</v>
      </c>
      <c r="W85" s="1">
        <v>97875</v>
      </c>
      <c r="X85" s="1">
        <v>330525</v>
      </c>
      <c r="Y85" s="1" t="s">
        <v>59</v>
      </c>
      <c r="AA85" s="57" t="e">
        <f>#REF!/#REF!</f>
        <v>#REF!</v>
      </c>
    </row>
    <row r="86" spans="1:66">
      <c r="A86" t="str">
        <f t="shared" si="5"/>
        <v>CE10750</v>
      </c>
      <c r="B86" t="str">
        <f t="shared" si="6"/>
        <v>PE10750</v>
      </c>
      <c r="C86" t="s">
        <v>59</v>
      </c>
      <c r="D86" s="1">
        <v>259200</v>
      </c>
      <c r="E86" s="1">
        <v>17850</v>
      </c>
      <c r="F86" s="1">
        <v>4132</v>
      </c>
      <c r="G86" s="1">
        <v>9.14</v>
      </c>
      <c r="H86" s="1">
        <v>2.7</v>
      </c>
      <c r="I86" s="1">
        <v>-1.7</v>
      </c>
      <c r="J86" s="1">
        <v>75</v>
      </c>
      <c r="K86" s="1">
        <v>2.65</v>
      </c>
      <c r="L86" s="1">
        <v>2.7</v>
      </c>
      <c r="M86" s="1">
        <v>750</v>
      </c>
      <c r="N86" s="1">
        <v>10750</v>
      </c>
      <c r="O86" s="1">
        <v>3000</v>
      </c>
      <c r="P86" s="1">
        <v>256.95</v>
      </c>
      <c r="Q86" s="1">
        <v>290.10000000000002</v>
      </c>
      <c r="R86" s="1">
        <v>3000</v>
      </c>
      <c r="S86" s="1" t="s">
        <v>14</v>
      </c>
      <c r="T86" s="1" t="s">
        <v>14</v>
      </c>
      <c r="U86" s="1" t="s">
        <v>14</v>
      </c>
      <c r="V86" s="1" t="s">
        <v>14</v>
      </c>
      <c r="W86" s="1" t="s">
        <v>14</v>
      </c>
      <c r="X86" s="1" t="s">
        <v>14</v>
      </c>
      <c r="Y86" s="1" t="s">
        <v>59</v>
      </c>
      <c r="AA86" s="57" t="e">
        <f>#REF!/#REF!</f>
        <v>#REF!</v>
      </c>
    </row>
    <row r="87" spans="1:66">
      <c r="A87" t="str">
        <f t="shared" si="5"/>
        <v>CE10800</v>
      </c>
      <c r="B87" t="str">
        <f t="shared" si="6"/>
        <v>PE10800</v>
      </c>
      <c r="C87" t="s">
        <v>59</v>
      </c>
      <c r="D87" s="1">
        <v>2509500</v>
      </c>
      <c r="E87" s="1">
        <v>-516000</v>
      </c>
      <c r="F87" s="1">
        <v>49502</v>
      </c>
      <c r="G87" s="1">
        <v>10.01</v>
      </c>
      <c r="H87" s="1">
        <v>2.0499999999999998</v>
      </c>
      <c r="I87" s="1">
        <v>-1.25</v>
      </c>
      <c r="J87" s="1">
        <v>7200</v>
      </c>
      <c r="K87" s="1">
        <v>2.0499999999999998</v>
      </c>
      <c r="L87" s="1">
        <v>2.15</v>
      </c>
      <c r="M87" s="1">
        <v>1725</v>
      </c>
      <c r="N87" s="1">
        <v>10800</v>
      </c>
      <c r="O87" s="1">
        <v>75</v>
      </c>
      <c r="P87" s="1">
        <v>323.35000000000002</v>
      </c>
      <c r="Q87" s="1">
        <v>327.2</v>
      </c>
      <c r="R87" s="1">
        <v>75</v>
      </c>
      <c r="S87" s="1">
        <v>-64.900000000000006</v>
      </c>
      <c r="T87" s="1">
        <v>324.05</v>
      </c>
      <c r="U87" s="1">
        <v>15.3</v>
      </c>
      <c r="V87" s="1">
        <v>566</v>
      </c>
      <c r="W87" s="1">
        <v>8100</v>
      </c>
      <c r="X87" s="1">
        <v>109725</v>
      </c>
      <c r="Y87" s="1" t="s">
        <v>59</v>
      </c>
      <c r="AA87" s="57" t="e">
        <f>#REF!/#REF!</f>
        <v>#REF!</v>
      </c>
    </row>
    <row r="88" spans="1:66">
      <c r="A88" t="str">
        <f t="shared" si="5"/>
        <v>CE10850</v>
      </c>
      <c r="B88" t="str">
        <f t="shared" si="6"/>
        <v>PE10850</v>
      </c>
      <c r="C88" t="s">
        <v>59</v>
      </c>
      <c r="D88" s="1">
        <v>55350</v>
      </c>
      <c r="E88" s="1">
        <v>15300</v>
      </c>
      <c r="F88" s="1">
        <v>843</v>
      </c>
      <c r="G88" s="1">
        <v>10.85</v>
      </c>
      <c r="H88" s="1">
        <v>1.6</v>
      </c>
      <c r="I88" s="1">
        <v>-0.95</v>
      </c>
      <c r="J88" s="1">
        <v>75</v>
      </c>
      <c r="K88" s="1">
        <v>0.7</v>
      </c>
      <c r="L88" s="1">
        <v>1.6</v>
      </c>
      <c r="M88" s="1">
        <v>3000</v>
      </c>
      <c r="N88" s="1">
        <v>10850</v>
      </c>
      <c r="O88" s="1">
        <v>5025</v>
      </c>
      <c r="P88" s="1">
        <v>290.10000000000002</v>
      </c>
      <c r="Q88" s="1" t="s">
        <v>14</v>
      </c>
      <c r="R88" s="1" t="s">
        <v>14</v>
      </c>
      <c r="S88" s="1" t="s">
        <v>14</v>
      </c>
      <c r="T88" s="1" t="s">
        <v>14</v>
      </c>
      <c r="U88" s="1" t="s">
        <v>14</v>
      </c>
      <c r="V88" s="1" t="s">
        <v>14</v>
      </c>
      <c r="W88" s="1" t="s">
        <v>14</v>
      </c>
      <c r="X88" s="1" t="s">
        <v>14</v>
      </c>
      <c r="Y88" s="1" t="s">
        <v>59</v>
      </c>
      <c r="AA88" s="57" t="e">
        <f>#REF!/#REF!</f>
        <v>#REF!</v>
      </c>
    </row>
    <row r="89" spans="1:66">
      <c r="A89" t="e">
        <f>"CE"&amp;#REF!</f>
        <v>#REF!</v>
      </c>
      <c r="B89" t="e">
        <f>"PE"&amp;#REF!</f>
        <v>#REF!</v>
      </c>
      <c r="C89" t="s">
        <v>59</v>
      </c>
      <c r="D89" s="1">
        <v>1128600</v>
      </c>
      <c r="E89" s="1">
        <v>-202050</v>
      </c>
      <c r="F89" s="1">
        <v>19168</v>
      </c>
      <c r="G89" s="1">
        <v>11.71</v>
      </c>
      <c r="H89" s="1">
        <v>1.3</v>
      </c>
      <c r="I89" s="1">
        <v>-0.8</v>
      </c>
      <c r="J89" s="1">
        <v>3000</v>
      </c>
      <c r="K89" s="1">
        <v>1.3</v>
      </c>
      <c r="L89" s="1">
        <v>1.6</v>
      </c>
      <c r="M89" s="1">
        <v>750</v>
      </c>
      <c r="N89" s="1">
        <v>10900</v>
      </c>
      <c r="O89" s="1">
        <v>75</v>
      </c>
      <c r="P89" s="1">
        <v>418.85</v>
      </c>
      <c r="Q89" s="1">
        <v>427.2</v>
      </c>
      <c r="R89" s="1">
        <v>150</v>
      </c>
      <c r="S89" s="1">
        <v>-66.55</v>
      </c>
      <c r="T89" s="1">
        <v>420</v>
      </c>
      <c r="U89" s="1">
        <v>17.2</v>
      </c>
      <c r="V89" s="1">
        <v>53</v>
      </c>
      <c r="W89" s="1">
        <v>-300</v>
      </c>
      <c r="X89" s="1">
        <v>11400</v>
      </c>
      <c r="Y89" s="1" t="s">
        <v>59</v>
      </c>
      <c r="AA89" s="57" t="e">
        <f>X125/D125</f>
        <v>#DIV/0!</v>
      </c>
    </row>
    <row r="90" spans="1:66">
      <c r="A90" t="e">
        <f>"CE"&amp;#REF!</f>
        <v>#REF!</v>
      </c>
      <c r="B90" t="e">
        <f>"PE"&amp;#REF!</f>
        <v>#REF!</v>
      </c>
      <c r="C90" t="s">
        <v>59</v>
      </c>
      <c r="D90" s="1">
        <v>12300</v>
      </c>
      <c r="E90" s="1">
        <v>3900</v>
      </c>
      <c r="F90" s="1">
        <v>86</v>
      </c>
      <c r="G90" s="1">
        <v>12.81</v>
      </c>
      <c r="H90" s="1">
        <v>1.25</v>
      </c>
      <c r="I90" s="1">
        <v>-0.55000000000000004</v>
      </c>
      <c r="J90" s="1">
        <v>15075</v>
      </c>
      <c r="K90" s="1">
        <v>0.4</v>
      </c>
      <c r="L90" s="1">
        <v>1.35</v>
      </c>
      <c r="M90" s="1">
        <v>75</v>
      </c>
      <c r="N90" s="1">
        <v>10950</v>
      </c>
      <c r="O90" s="1">
        <v>3000</v>
      </c>
      <c r="P90" s="1">
        <v>385.1</v>
      </c>
      <c r="Q90" s="1" t="s">
        <v>14</v>
      </c>
      <c r="R90" s="1" t="s">
        <v>14</v>
      </c>
      <c r="S90" s="1" t="s">
        <v>14</v>
      </c>
      <c r="T90" s="1" t="s">
        <v>14</v>
      </c>
      <c r="U90" s="1" t="s">
        <v>14</v>
      </c>
      <c r="V90" s="1" t="s">
        <v>14</v>
      </c>
      <c r="W90" s="1" t="s">
        <v>14</v>
      </c>
      <c r="X90" s="1" t="s">
        <v>14</v>
      </c>
      <c r="Y90" s="1" t="s">
        <v>59</v>
      </c>
      <c r="AA90" s="57" t="e">
        <f>X126/D126</f>
        <v>#DIV/0!</v>
      </c>
    </row>
    <row r="91" spans="1:66">
      <c r="A91" t="e">
        <f>"CE"&amp;#REF!</f>
        <v>#REF!</v>
      </c>
      <c r="B91" t="e">
        <f>"PE"&amp;#REF!</f>
        <v>#REF!</v>
      </c>
      <c r="C91" t="s">
        <v>59</v>
      </c>
      <c r="D91" s="1">
        <v>3597075</v>
      </c>
      <c r="E91" s="1">
        <v>-585975</v>
      </c>
      <c r="F91" s="1">
        <v>21624</v>
      </c>
      <c r="G91" s="1">
        <v>13.54</v>
      </c>
      <c r="H91" s="1">
        <v>1</v>
      </c>
      <c r="I91" s="1">
        <v>-0.65</v>
      </c>
      <c r="J91" s="1">
        <v>6300</v>
      </c>
      <c r="K91" s="1">
        <v>0.95</v>
      </c>
      <c r="L91" s="1">
        <v>1</v>
      </c>
      <c r="M91" s="1">
        <v>1500</v>
      </c>
      <c r="N91" s="1">
        <v>11000</v>
      </c>
      <c r="O91" s="1">
        <v>75</v>
      </c>
      <c r="P91" s="1">
        <v>518.04999999999995</v>
      </c>
      <c r="Q91" s="1">
        <v>524.35</v>
      </c>
      <c r="R91" s="1">
        <v>75</v>
      </c>
      <c r="S91" s="1">
        <v>-66.900000000000006</v>
      </c>
      <c r="T91" s="1">
        <v>519.35</v>
      </c>
      <c r="U91" s="1">
        <v>20.05</v>
      </c>
      <c r="V91" s="1">
        <v>1907</v>
      </c>
      <c r="W91" s="1">
        <v>-27225</v>
      </c>
      <c r="X91" s="1">
        <v>1113150</v>
      </c>
      <c r="Y91" s="1" t="s">
        <v>59</v>
      </c>
      <c r="AA91" s="57" t="e">
        <f>X127/D127</f>
        <v>#DIV/0!</v>
      </c>
    </row>
    <row r="92" spans="1:66">
      <c r="A92" t="e">
        <f>"CE"&amp;#REF!</f>
        <v>#REF!</v>
      </c>
      <c r="B92" t="e">
        <f>"PE"&amp;#REF!</f>
        <v>#REF!</v>
      </c>
      <c r="C92" t="s">
        <v>59</v>
      </c>
      <c r="D92" s="1">
        <v>9375</v>
      </c>
      <c r="E92" s="1">
        <v>2475</v>
      </c>
      <c r="F92" s="1">
        <v>89</v>
      </c>
      <c r="G92" s="1">
        <v>14.34</v>
      </c>
      <c r="H92" s="1">
        <v>0.85</v>
      </c>
      <c r="I92" s="1">
        <v>-0.6</v>
      </c>
      <c r="J92" s="1">
        <v>10050</v>
      </c>
      <c r="K92" s="1">
        <v>0.35</v>
      </c>
      <c r="L92" s="1">
        <v>3.6</v>
      </c>
      <c r="M92" s="1">
        <v>150</v>
      </c>
      <c r="N92" s="1">
        <v>11050</v>
      </c>
      <c r="O92" s="1" t="s">
        <v>14</v>
      </c>
      <c r="P92" s="1" t="s">
        <v>14</v>
      </c>
      <c r="Q92" s="1" t="s">
        <v>14</v>
      </c>
      <c r="R92" s="1" t="s">
        <v>14</v>
      </c>
      <c r="S92" s="1" t="s">
        <v>14</v>
      </c>
      <c r="T92" s="1" t="s">
        <v>14</v>
      </c>
      <c r="U92" s="1" t="s">
        <v>14</v>
      </c>
      <c r="V92" s="1" t="s">
        <v>14</v>
      </c>
      <c r="W92" s="1" t="s">
        <v>14</v>
      </c>
      <c r="X92" s="1" t="s">
        <v>14</v>
      </c>
      <c r="Y92" s="1" t="s">
        <v>59</v>
      </c>
      <c r="AA92" s="57" t="e">
        <f>X128/D128</f>
        <v>#DIV/0!</v>
      </c>
    </row>
    <row r="93" spans="1:66">
      <c r="A93" t="e">
        <f>"CE"&amp;#REF!</f>
        <v>#REF!</v>
      </c>
      <c r="B93" t="e">
        <f>"PE"&amp;#REF!</f>
        <v>#REF!</v>
      </c>
      <c r="C93" t="s">
        <v>59</v>
      </c>
      <c r="D93" s="1">
        <v>386400</v>
      </c>
      <c r="E93" s="1">
        <v>-6675</v>
      </c>
      <c r="F93" s="1">
        <v>2076</v>
      </c>
      <c r="G93" s="1">
        <v>15.3</v>
      </c>
      <c r="H93" s="1">
        <v>0.8</v>
      </c>
      <c r="I93" s="1">
        <v>-0.45</v>
      </c>
      <c r="J93" s="1">
        <v>11250</v>
      </c>
      <c r="K93" s="1">
        <v>0.75</v>
      </c>
      <c r="L93" s="1">
        <v>0.85</v>
      </c>
      <c r="M93" s="1">
        <v>7575</v>
      </c>
      <c r="N93" s="1">
        <v>11100</v>
      </c>
      <c r="O93" s="1">
        <v>150</v>
      </c>
      <c r="P93" s="1">
        <v>601.95000000000005</v>
      </c>
      <c r="Q93" s="1">
        <v>628.75</v>
      </c>
      <c r="R93" s="1">
        <v>75</v>
      </c>
      <c r="S93" s="1">
        <v>-31.85</v>
      </c>
      <c r="T93" s="1">
        <v>628.15</v>
      </c>
      <c r="U93" s="1">
        <v>26.79</v>
      </c>
      <c r="V93" s="1">
        <v>3</v>
      </c>
      <c r="W93" s="1">
        <v>75</v>
      </c>
      <c r="X93" s="1">
        <v>5025</v>
      </c>
      <c r="Y93" s="1" t="s">
        <v>59</v>
      </c>
      <c r="AA93" s="57" t="e">
        <f>X129/D129</f>
        <v>#DIV/0!</v>
      </c>
    </row>
    <row r="94" spans="1:66">
      <c r="A94" t="e">
        <f>"CE"&amp;#REF!</f>
        <v>#REF!</v>
      </c>
      <c r="B94" t="e">
        <f>"PE"&amp;#REF!</f>
        <v>#REF!</v>
      </c>
      <c r="C94" t="s">
        <v>59</v>
      </c>
      <c r="D94" s="1">
        <v>750</v>
      </c>
      <c r="E94" s="1" t="s">
        <v>14</v>
      </c>
      <c r="F94" s="1" t="s">
        <v>14</v>
      </c>
      <c r="G94" s="1" t="s">
        <v>14</v>
      </c>
      <c r="H94" s="1">
        <v>1.5</v>
      </c>
      <c r="I94" s="1" t="s">
        <v>14</v>
      </c>
      <c r="J94" s="1">
        <v>1500</v>
      </c>
      <c r="K94" s="1">
        <v>0.3</v>
      </c>
      <c r="L94" s="1">
        <v>1.5</v>
      </c>
      <c r="M94" s="1">
        <v>75</v>
      </c>
      <c r="N94" s="1">
        <v>11150</v>
      </c>
      <c r="O94" s="1" t="s">
        <v>14</v>
      </c>
      <c r="P94" s="1" t="s">
        <v>14</v>
      </c>
      <c r="Q94" s="1" t="s">
        <v>14</v>
      </c>
      <c r="R94" s="1" t="s">
        <v>14</v>
      </c>
      <c r="S94" s="1" t="s">
        <v>14</v>
      </c>
      <c r="T94" s="1" t="s">
        <v>14</v>
      </c>
      <c r="U94" s="1" t="s">
        <v>14</v>
      </c>
      <c r="V94" s="1" t="s">
        <v>14</v>
      </c>
      <c r="W94" s="1" t="s">
        <v>14</v>
      </c>
      <c r="X94" s="1" t="s">
        <v>14</v>
      </c>
      <c r="Y94" s="1" t="s">
        <v>59</v>
      </c>
      <c r="Z94" s="1"/>
      <c r="AA94" s="57" t="e">
        <f>X130/D130</f>
        <v>#DIV/0!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e">
        <f>"CE"&amp;#REF!</f>
        <v>#REF!</v>
      </c>
      <c r="B95" t="e">
        <f>"PE"&amp;#REF!</f>
        <v>#REF!</v>
      </c>
      <c r="C95" t="s">
        <v>59</v>
      </c>
      <c r="D95" s="1">
        <v>286650</v>
      </c>
      <c r="E95" s="1">
        <v>-10125</v>
      </c>
      <c r="F95" s="1">
        <v>892</v>
      </c>
      <c r="G95" s="1">
        <v>17.649999999999999</v>
      </c>
      <c r="H95" s="1">
        <v>0.9</v>
      </c>
      <c r="I95" s="1">
        <v>-0.05</v>
      </c>
      <c r="J95" s="1">
        <v>75</v>
      </c>
      <c r="K95" s="1">
        <v>0.7</v>
      </c>
      <c r="L95" s="1">
        <v>0.9</v>
      </c>
      <c r="M95" s="1">
        <v>1725</v>
      </c>
      <c r="N95" s="1">
        <v>11200</v>
      </c>
      <c r="O95" s="1">
        <v>75</v>
      </c>
      <c r="P95" s="1">
        <v>701.45</v>
      </c>
      <c r="Q95" s="1">
        <v>735.9</v>
      </c>
      <c r="R95" s="1">
        <v>300</v>
      </c>
      <c r="S95" s="1">
        <v>-8.1</v>
      </c>
      <c r="T95" s="1">
        <v>772.3</v>
      </c>
      <c r="U95" s="1">
        <v>42.73</v>
      </c>
      <c r="V95" s="1">
        <v>4</v>
      </c>
      <c r="W95" s="1">
        <v>-225</v>
      </c>
      <c r="X95" s="1">
        <v>61200</v>
      </c>
      <c r="Y95" s="1" t="s">
        <v>59</v>
      </c>
      <c r="AA95" s="57" t="e">
        <f>X131/D131</f>
        <v>#DIV/0!</v>
      </c>
      <c r="BF95" s="1"/>
    </row>
    <row r="96" spans="1:66">
      <c r="A96" t="e">
        <f>"CE"&amp;#REF!</f>
        <v>#REF!</v>
      </c>
      <c r="B96" t="e">
        <f>"PE"&amp;#REF!</f>
        <v>#REF!</v>
      </c>
      <c r="C96" t="s">
        <v>59</v>
      </c>
      <c r="D96" s="1">
        <v>75</v>
      </c>
      <c r="E96" s="1" t="s">
        <v>14</v>
      </c>
      <c r="F96" s="1" t="s">
        <v>14</v>
      </c>
      <c r="G96" s="1" t="s">
        <v>14</v>
      </c>
      <c r="H96" s="1">
        <v>0.8</v>
      </c>
      <c r="I96" s="1" t="s">
        <v>14</v>
      </c>
      <c r="J96" s="1">
        <v>3000</v>
      </c>
      <c r="K96" s="1">
        <v>0.25</v>
      </c>
      <c r="L96" s="1">
        <v>1.95</v>
      </c>
      <c r="M96" s="1">
        <v>3000</v>
      </c>
      <c r="N96" s="1">
        <v>11250</v>
      </c>
      <c r="O96" s="1" t="s">
        <v>14</v>
      </c>
      <c r="P96" s="1" t="s">
        <v>14</v>
      </c>
      <c r="Q96" s="1" t="s">
        <v>14</v>
      </c>
      <c r="R96" s="1" t="s">
        <v>14</v>
      </c>
      <c r="S96" s="1" t="s">
        <v>14</v>
      </c>
      <c r="T96" s="1" t="s">
        <v>14</v>
      </c>
      <c r="U96" s="1" t="s">
        <v>14</v>
      </c>
      <c r="V96" s="1" t="s">
        <v>14</v>
      </c>
      <c r="W96" s="1" t="s">
        <v>14</v>
      </c>
      <c r="X96" s="1" t="s">
        <v>14</v>
      </c>
      <c r="Y96" s="1" t="s">
        <v>59</v>
      </c>
      <c r="Z96" s="1"/>
      <c r="AA96" s="57" t="e">
        <f>X132/D132</f>
        <v>#DIV/0!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e">
        <f>"CE"&amp;#REF!</f>
        <v>#REF!</v>
      </c>
      <c r="B97" t="e">
        <f>"PE"&amp;#REF!</f>
        <v>#REF!</v>
      </c>
      <c r="C97" t="s">
        <v>59</v>
      </c>
      <c r="D97" s="1">
        <v>126450</v>
      </c>
      <c r="E97" s="1" t="s">
        <v>14</v>
      </c>
      <c r="F97" s="1">
        <v>145</v>
      </c>
      <c r="G97" s="1">
        <v>19.579999999999998</v>
      </c>
      <c r="H97" s="1">
        <v>0.85</v>
      </c>
      <c r="I97" s="1">
        <v>0.05</v>
      </c>
      <c r="J97" s="1">
        <v>75</v>
      </c>
      <c r="K97" s="1">
        <v>0.6</v>
      </c>
      <c r="L97" s="1">
        <v>1.4</v>
      </c>
      <c r="M97" s="1">
        <v>600</v>
      </c>
      <c r="N97" s="1">
        <v>11300</v>
      </c>
      <c r="O97" s="1">
        <v>75</v>
      </c>
      <c r="P97" s="1">
        <v>801.15</v>
      </c>
      <c r="Q97" s="1">
        <v>835.9</v>
      </c>
      <c r="R97" s="1">
        <v>75</v>
      </c>
      <c r="S97" s="1" t="s">
        <v>14</v>
      </c>
      <c r="T97" s="1">
        <v>859.65</v>
      </c>
      <c r="U97" s="1" t="s">
        <v>14</v>
      </c>
      <c r="V97" s="1" t="s">
        <v>14</v>
      </c>
      <c r="W97" s="1" t="s">
        <v>14</v>
      </c>
      <c r="X97" s="1">
        <v>1125</v>
      </c>
      <c r="Y97" s="1" t="s">
        <v>59</v>
      </c>
      <c r="Z97" s="1"/>
      <c r="AA97" s="57" t="e">
        <f>X133/D133</f>
        <v>#DIV/0!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e">
        <f>"CE"&amp;#REF!</f>
        <v>#REF!</v>
      </c>
      <c r="B98" t="e">
        <f>"PE"&amp;#REF!</f>
        <v>#REF!</v>
      </c>
      <c r="C98" t="s">
        <v>59</v>
      </c>
      <c r="D98" s="1">
        <v>2175</v>
      </c>
      <c r="E98" s="1" t="s">
        <v>14</v>
      </c>
      <c r="F98" s="1" t="s">
        <v>14</v>
      </c>
      <c r="G98" s="1" t="s">
        <v>14</v>
      </c>
      <c r="H98" s="1">
        <v>0.55000000000000004</v>
      </c>
      <c r="I98" s="1" t="s">
        <v>14</v>
      </c>
      <c r="J98" s="1">
        <v>825</v>
      </c>
      <c r="K98" s="1">
        <v>0.4</v>
      </c>
      <c r="L98" s="1">
        <v>1.95</v>
      </c>
      <c r="M98" s="1">
        <v>3000</v>
      </c>
      <c r="N98" s="1">
        <v>11350</v>
      </c>
      <c r="O98" s="1" t="s">
        <v>14</v>
      </c>
      <c r="P98" s="1" t="s">
        <v>14</v>
      </c>
      <c r="Q98" s="1" t="s">
        <v>14</v>
      </c>
      <c r="R98" s="1" t="s">
        <v>14</v>
      </c>
      <c r="S98" s="1" t="s">
        <v>14</v>
      </c>
      <c r="T98" s="1" t="s">
        <v>14</v>
      </c>
      <c r="U98" s="1" t="s">
        <v>14</v>
      </c>
      <c r="V98" s="1" t="s">
        <v>14</v>
      </c>
      <c r="W98" s="1" t="s">
        <v>14</v>
      </c>
      <c r="X98" s="1" t="s">
        <v>14</v>
      </c>
      <c r="Y98" s="1" t="s">
        <v>59</v>
      </c>
      <c r="AA98" s="57" t="e">
        <f>X134/D134</f>
        <v>#DIV/0!</v>
      </c>
    </row>
    <row r="99" spans="1:46">
      <c r="A99" t="e">
        <f>"CE"&amp;#REF!</f>
        <v>#REF!</v>
      </c>
      <c r="B99" t="e">
        <f>"PE"&amp;#REF!</f>
        <v>#REF!</v>
      </c>
      <c r="C99" t="s">
        <v>59</v>
      </c>
      <c r="D99" s="1">
        <v>649425</v>
      </c>
      <c r="E99" s="1">
        <v>-21375</v>
      </c>
      <c r="F99" s="1">
        <v>1063</v>
      </c>
      <c r="G99" s="1">
        <v>21.6</v>
      </c>
      <c r="H99" s="1">
        <v>0.85</v>
      </c>
      <c r="I99" s="1">
        <v>0.1</v>
      </c>
      <c r="J99" s="1">
        <v>3000</v>
      </c>
      <c r="K99" s="1">
        <v>0.7</v>
      </c>
      <c r="L99" s="1">
        <v>0.85</v>
      </c>
      <c r="M99" s="1">
        <v>225</v>
      </c>
      <c r="N99" s="1">
        <v>11400</v>
      </c>
      <c r="O99" s="1">
        <v>75</v>
      </c>
      <c r="P99" s="1">
        <v>913.65</v>
      </c>
      <c r="Q99" s="1">
        <v>934.5</v>
      </c>
      <c r="R99" s="1">
        <v>75</v>
      </c>
      <c r="S99" s="1">
        <v>-145.15</v>
      </c>
      <c r="T99" s="1">
        <v>968.7</v>
      </c>
      <c r="U99" s="1">
        <v>49.1</v>
      </c>
      <c r="V99" s="1">
        <v>1</v>
      </c>
      <c r="W99" s="1" t="s">
        <v>14</v>
      </c>
      <c r="X99" s="1">
        <v>522725</v>
      </c>
      <c r="Y99" s="1" t="s">
        <v>59</v>
      </c>
      <c r="AA99" s="57" t="e">
        <f>X135/D135</f>
        <v>#DIV/0!</v>
      </c>
    </row>
    <row r="100" spans="1:46">
      <c r="A100" t="e">
        <f>"CE"&amp;#REF!</f>
        <v>#REF!</v>
      </c>
      <c r="B100" t="e">
        <f>"PE"&amp;#REF!</f>
        <v>#REF!</v>
      </c>
      <c r="C100" t="s">
        <v>59</v>
      </c>
      <c r="D100" s="1">
        <v>3825</v>
      </c>
      <c r="E100" s="1" t="s">
        <v>14</v>
      </c>
      <c r="F100" s="1">
        <v>1</v>
      </c>
      <c r="G100" s="1">
        <v>24.11</v>
      </c>
      <c r="H100" s="1">
        <v>1.45</v>
      </c>
      <c r="I100" s="1">
        <v>-0.5</v>
      </c>
      <c r="J100" s="1">
        <v>3000</v>
      </c>
      <c r="K100" s="1">
        <v>0.05</v>
      </c>
      <c r="L100" s="1">
        <v>1.45</v>
      </c>
      <c r="M100" s="1">
        <v>2925</v>
      </c>
      <c r="N100" s="1">
        <v>11450</v>
      </c>
      <c r="O100" s="1">
        <v>75</v>
      </c>
      <c r="P100" s="1">
        <v>950</v>
      </c>
      <c r="Q100" s="1" t="s">
        <v>14</v>
      </c>
      <c r="R100" s="1" t="s">
        <v>14</v>
      </c>
      <c r="S100" s="1">
        <v>-240</v>
      </c>
      <c r="T100" s="1">
        <v>1000</v>
      </c>
      <c r="U100" s="1">
        <v>45.49</v>
      </c>
      <c r="V100" s="1">
        <v>1</v>
      </c>
      <c r="W100" s="1">
        <v>-75</v>
      </c>
      <c r="X100" s="1">
        <v>75</v>
      </c>
      <c r="Y100" s="1" t="s">
        <v>59</v>
      </c>
      <c r="AA100" s="57" t="e">
        <f>X136/D136</f>
        <v>#DIV/0!</v>
      </c>
    </row>
    <row r="101" spans="1:46">
      <c r="A101" t="e">
        <f>"CE"&amp;#REF!</f>
        <v>#REF!</v>
      </c>
      <c r="B101" t="e">
        <f>"PE"&amp;#REF!</f>
        <v>#REF!</v>
      </c>
      <c r="C101" t="s">
        <v>59</v>
      </c>
      <c r="D101" s="1">
        <v>712425</v>
      </c>
      <c r="E101" s="1">
        <v>-67200</v>
      </c>
      <c r="F101" s="1">
        <v>2893</v>
      </c>
      <c r="G101" s="1">
        <v>23.06</v>
      </c>
      <c r="H101" s="1">
        <v>0.7</v>
      </c>
      <c r="I101" s="1">
        <v>-0.05</v>
      </c>
      <c r="J101" s="1">
        <v>8550</v>
      </c>
      <c r="K101" s="1">
        <v>0.7</v>
      </c>
      <c r="L101" s="1">
        <v>0.8</v>
      </c>
      <c r="M101" s="1">
        <v>11775</v>
      </c>
      <c r="N101" s="1">
        <v>11500</v>
      </c>
      <c r="O101" s="1">
        <v>150</v>
      </c>
      <c r="P101" s="1">
        <v>1016.45</v>
      </c>
      <c r="Q101" s="1">
        <v>1024.45</v>
      </c>
      <c r="R101" s="1">
        <v>75</v>
      </c>
      <c r="S101" s="1">
        <v>-64.099999999999994</v>
      </c>
      <c r="T101" s="1">
        <v>1017.05</v>
      </c>
      <c r="U101" s="1">
        <v>32.97</v>
      </c>
      <c r="V101" s="1">
        <v>1082</v>
      </c>
      <c r="W101" s="1">
        <v>-66750</v>
      </c>
      <c r="X101" s="1">
        <v>492375</v>
      </c>
      <c r="Y101" s="1" t="s">
        <v>59</v>
      </c>
    </row>
    <row r="102" spans="1:46">
      <c r="A102" t="e">
        <f>"CE"&amp;#REF!</f>
        <v>#REF!</v>
      </c>
      <c r="B102" t="e">
        <f>"PE"&amp;#REF!</f>
        <v>#REF!</v>
      </c>
      <c r="C102" t="s">
        <v>59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  <c r="I102" s="1" t="s">
        <v>14</v>
      </c>
      <c r="J102" s="1">
        <v>3000</v>
      </c>
      <c r="K102" s="1">
        <v>0.05</v>
      </c>
      <c r="L102" s="1">
        <v>1</v>
      </c>
      <c r="M102" s="1">
        <v>3000</v>
      </c>
      <c r="N102" s="1">
        <v>11550</v>
      </c>
      <c r="O102" s="1" t="s">
        <v>14</v>
      </c>
      <c r="P102" s="1" t="s">
        <v>14</v>
      </c>
      <c r="Q102" s="1" t="s">
        <v>14</v>
      </c>
      <c r="R102" s="1" t="s">
        <v>14</v>
      </c>
      <c r="S102" s="1" t="s">
        <v>14</v>
      </c>
      <c r="T102" s="1" t="s">
        <v>14</v>
      </c>
      <c r="U102" s="1" t="s">
        <v>14</v>
      </c>
      <c r="V102" s="1" t="s">
        <v>14</v>
      </c>
      <c r="W102" s="1" t="s">
        <v>14</v>
      </c>
      <c r="X102" s="1" t="s">
        <v>14</v>
      </c>
      <c r="Y102" s="1" t="s">
        <v>59</v>
      </c>
    </row>
    <row r="103" spans="1:46">
      <c r="A103" t="e">
        <f>"CE"&amp;#REF!</f>
        <v>#REF!</v>
      </c>
      <c r="B103" t="e">
        <f>"PE"&amp;#REF!</f>
        <v>#REF!</v>
      </c>
      <c r="C103" t="s">
        <v>59</v>
      </c>
      <c r="D103" s="1">
        <v>19275</v>
      </c>
      <c r="E103" s="1">
        <v>375</v>
      </c>
      <c r="F103" s="1">
        <v>95</v>
      </c>
      <c r="G103" s="1">
        <v>25.52</v>
      </c>
      <c r="H103" s="1">
        <v>0.85</v>
      </c>
      <c r="I103" s="1">
        <v>0.15</v>
      </c>
      <c r="J103" s="1">
        <v>750</v>
      </c>
      <c r="K103" s="1">
        <v>0.6</v>
      </c>
      <c r="L103" s="1">
        <v>0.8</v>
      </c>
      <c r="M103" s="1">
        <v>75</v>
      </c>
      <c r="N103" s="1">
        <v>11600</v>
      </c>
      <c r="O103" s="1">
        <v>75</v>
      </c>
      <c r="P103" s="1">
        <v>1115</v>
      </c>
      <c r="Q103" s="1">
        <v>1127.45</v>
      </c>
      <c r="R103" s="1">
        <v>75</v>
      </c>
      <c r="S103" s="1">
        <v>-169.4</v>
      </c>
      <c r="T103" s="1">
        <v>1115.5999999999999</v>
      </c>
      <c r="U103" s="1">
        <v>34.53</v>
      </c>
      <c r="V103" s="1">
        <v>27</v>
      </c>
      <c r="W103" s="1">
        <v>-1125</v>
      </c>
      <c r="X103" s="1">
        <v>14175</v>
      </c>
      <c r="Y103" s="1" t="s">
        <v>59</v>
      </c>
    </row>
    <row r="104" spans="1:46">
      <c r="A104" t="e">
        <f>"CE"&amp;#REF!</f>
        <v>#REF!</v>
      </c>
      <c r="B104" t="e">
        <f>"PE"&amp;#REF!</f>
        <v>#REF!</v>
      </c>
      <c r="C104" t="s">
        <v>59</v>
      </c>
      <c r="D104" s="1">
        <v>6000</v>
      </c>
      <c r="E104" s="1" t="s">
        <v>14</v>
      </c>
      <c r="F104" s="1" t="s">
        <v>14</v>
      </c>
      <c r="G104" s="1" t="s">
        <v>14</v>
      </c>
      <c r="H104" s="1">
        <v>1</v>
      </c>
      <c r="I104" s="1" t="s">
        <v>14</v>
      </c>
      <c r="J104" s="1">
        <v>3000</v>
      </c>
      <c r="K104" s="1">
        <v>0.05</v>
      </c>
      <c r="L104" s="1">
        <v>1.45</v>
      </c>
      <c r="M104" s="1">
        <v>3000</v>
      </c>
      <c r="N104" s="1">
        <v>11650</v>
      </c>
      <c r="O104" s="1" t="s">
        <v>14</v>
      </c>
      <c r="P104" s="1" t="s">
        <v>14</v>
      </c>
      <c r="Q104" s="1" t="s">
        <v>14</v>
      </c>
      <c r="R104" s="1" t="s">
        <v>14</v>
      </c>
      <c r="S104" s="1" t="s">
        <v>14</v>
      </c>
      <c r="T104" s="1" t="s">
        <v>14</v>
      </c>
      <c r="U104" s="1" t="s">
        <v>14</v>
      </c>
      <c r="V104" s="1" t="s">
        <v>14</v>
      </c>
      <c r="W104" s="1" t="s">
        <v>14</v>
      </c>
      <c r="X104" s="1" t="s">
        <v>14</v>
      </c>
      <c r="Y104" s="1" t="s">
        <v>59</v>
      </c>
    </row>
    <row r="105" spans="1:46">
      <c r="A105" t="e">
        <f>"CE"&amp;#REF!</f>
        <v>#REF!</v>
      </c>
      <c r="B105" t="e">
        <f>"PE"&amp;#REF!</f>
        <v>#REF!</v>
      </c>
      <c r="C105" t="s">
        <v>59</v>
      </c>
      <c r="D105" s="1">
        <v>10200</v>
      </c>
      <c r="E105" s="1">
        <v>675</v>
      </c>
      <c r="F105" s="1">
        <v>26</v>
      </c>
      <c r="G105" s="1">
        <v>25.01</v>
      </c>
      <c r="H105" s="1">
        <v>0.35</v>
      </c>
      <c r="I105" s="1">
        <v>-0.2</v>
      </c>
      <c r="J105" s="1">
        <v>3825</v>
      </c>
      <c r="K105" s="1">
        <v>0.2</v>
      </c>
      <c r="L105" s="1">
        <v>0.5</v>
      </c>
      <c r="M105" s="1">
        <v>750</v>
      </c>
      <c r="N105" s="1">
        <v>11700</v>
      </c>
      <c r="O105" s="1">
        <v>3000</v>
      </c>
      <c r="P105" s="1">
        <v>1200</v>
      </c>
      <c r="Q105" s="1">
        <v>1236.05</v>
      </c>
      <c r="R105" s="1">
        <v>3000</v>
      </c>
      <c r="S105" s="1" t="s">
        <v>14</v>
      </c>
      <c r="T105" s="1">
        <v>1260</v>
      </c>
      <c r="U105" s="1" t="s">
        <v>14</v>
      </c>
      <c r="V105" s="1" t="s">
        <v>14</v>
      </c>
      <c r="W105" s="1" t="s">
        <v>14</v>
      </c>
      <c r="X105" s="1">
        <v>6075</v>
      </c>
      <c r="Y105" s="1" t="s">
        <v>59</v>
      </c>
    </row>
    <row r="106" spans="1:46">
      <c r="A106" t="e">
        <f>"CE"&amp;#REF!</f>
        <v>#REF!</v>
      </c>
      <c r="B106" t="e">
        <f>"PE"&amp;#REF!</f>
        <v>#REF!</v>
      </c>
      <c r="C106" t="s">
        <v>59</v>
      </c>
      <c r="D106" s="1">
        <v>450</v>
      </c>
      <c r="E106" s="1" t="s">
        <v>14</v>
      </c>
      <c r="F106" s="1" t="s">
        <v>14</v>
      </c>
      <c r="G106" s="1" t="s">
        <v>14</v>
      </c>
      <c r="H106" s="1">
        <v>0.85</v>
      </c>
      <c r="I106" s="1" t="s">
        <v>14</v>
      </c>
      <c r="J106" s="1">
        <v>450</v>
      </c>
      <c r="K106" s="1">
        <v>0.5</v>
      </c>
      <c r="L106" s="1">
        <v>0.8</v>
      </c>
      <c r="M106" s="1">
        <v>450</v>
      </c>
      <c r="N106" s="1">
        <v>11750</v>
      </c>
      <c r="O106" s="1" t="s">
        <v>14</v>
      </c>
      <c r="P106" s="1" t="s">
        <v>14</v>
      </c>
      <c r="Q106" s="1" t="s">
        <v>14</v>
      </c>
      <c r="R106" s="1" t="s">
        <v>14</v>
      </c>
      <c r="S106" s="1" t="s">
        <v>14</v>
      </c>
      <c r="T106" s="1">
        <v>1418</v>
      </c>
      <c r="U106" s="1" t="s">
        <v>14</v>
      </c>
      <c r="V106" s="1" t="s">
        <v>14</v>
      </c>
      <c r="W106" s="1" t="s">
        <v>14</v>
      </c>
      <c r="X106" s="1">
        <v>300</v>
      </c>
      <c r="Y106" s="1" t="s">
        <v>59</v>
      </c>
    </row>
    <row r="107" spans="1:46">
      <c r="A107" t="e">
        <f>"CE"&amp;#REF!</f>
        <v>#REF!</v>
      </c>
      <c r="B107" t="e">
        <f>"PE"&amp;#REF!</f>
        <v>#REF!</v>
      </c>
      <c r="C107" t="s">
        <v>59</v>
      </c>
      <c r="D107" s="1">
        <v>6525</v>
      </c>
      <c r="E107" s="1">
        <v>750</v>
      </c>
      <c r="F107" s="1">
        <v>15</v>
      </c>
      <c r="G107" s="1">
        <v>28.91</v>
      </c>
      <c r="H107" s="1">
        <v>0.75</v>
      </c>
      <c r="I107" s="1">
        <v>0.3</v>
      </c>
      <c r="J107" s="1">
        <v>1500</v>
      </c>
      <c r="K107" s="1">
        <v>0.3</v>
      </c>
      <c r="L107" s="1">
        <v>0.65</v>
      </c>
      <c r="M107" s="1">
        <v>75</v>
      </c>
      <c r="N107" s="1">
        <v>11800</v>
      </c>
      <c r="O107" s="1">
        <v>6000</v>
      </c>
      <c r="P107" s="1">
        <v>1308</v>
      </c>
      <c r="Q107" s="1">
        <v>1336.05</v>
      </c>
      <c r="R107" s="1">
        <v>3000</v>
      </c>
      <c r="S107" s="1" t="s">
        <v>14</v>
      </c>
      <c r="T107" s="1">
        <v>1370</v>
      </c>
      <c r="U107" s="1" t="s">
        <v>14</v>
      </c>
      <c r="V107" s="1" t="s">
        <v>14</v>
      </c>
      <c r="W107" s="1" t="s">
        <v>14</v>
      </c>
      <c r="X107" s="1">
        <v>675</v>
      </c>
      <c r="Y107" s="1" t="s">
        <v>59</v>
      </c>
    </row>
    <row r="108" spans="1:46">
      <c r="A108" t="e">
        <f>"CE"&amp;#REF!</f>
        <v>#REF!</v>
      </c>
      <c r="B108" t="e">
        <f>"PE"&amp;#REF!</f>
        <v>#REF!</v>
      </c>
      <c r="C108" t="s">
        <v>59</v>
      </c>
      <c r="D108" s="1">
        <v>6000</v>
      </c>
      <c r="E108" s="1" t="s">
        <v>14</v>
      </c>
      <c r="F108" s="1" t="s">
        <v>14</v>
      </c>
      <c r="G108" s="1" t="s">
        <v>14</v>
      </c>
      <c r="H108" s="1">
        <v>0.5</v>
      </c>
      <c r="I108" s="1" t="s">
        <v>14</v>
      </c>
      <c r="J108" s="1">
        <v>1500</v>
      </c>
      <c r="K108" s="1">
        <v>0.05</v>
      </c>
      <c r="L108" s="1">
        <v>0.5</v>
      </c>
      <c r="M108" s="1">
        <v>2925</v>
      </c>
      <c r="N108" s="1">
        <v>11850</v>
      </c>
      <c r="O108" s="1" t="s">
        <v>14</v>
      </c>
      <c r="P108" s="1" t="s">
        <v>14</v>
      </c>
      <c r="Q108" s="1" t="s">
        <v>14</v>
      </c>
      <c r="R108" s="1" t="s">
        <v>14</v>
      </c>
      <c r="S108" s="1" t="s">
        <v>14</v>
      </c>
      <c r="T108" s="1" t="s">
        <v>14</v>
      </c>
      <c r="U108" s="1" t="s">
        <v>14</v>
      </c>
      <c r="V108" s="1" t="s">
        <v>14</v>
      </c>
      <c r="W108" s="1" t="s">
        <v>14</v>
      </c>
      <c r="X108" s="1" t="s">
        <v>14</v>
      </c>
      <c r="Y108" s="1" t="s">
        <v>59</v>
      </c>
    </row>
    <row r="109" spans="1:46">
      <c r="A109" t="e">
        <f>"CE"&amp;#REF!</f>
        <v>#REF!</v>
      </c>
      <c r="B109" t="e">
        <f>"PE"&amp;#REF!</f>
        <v>#REF!</v>
      </c>
      <c r="C109" t="s">
        <v>59</v>
      </c>
      <c r="D109" s="1">
        <v>1575</v>
      </c>
      <c r="E109" s="1">
        <v>-150</v>
      </c>
      <c r="F109" s="1">
        <v>1680</v>
      </c>
      <c r="G109" s="1">
        <v>29.47</v>
      </c>
      <c r="H109" s="1">
        <v>0.5</v>
      </c>
      <c r="I109" s="1">
        <v>-0.05</v>
      </c>
      <c r="J109" s="1">
        <v>1050</v>
      </c>
      <c r="K109" s="1">
        <v>0.45</v>
      </c>
      <c r="L109" s="1">
        <v>0.55000000000000004</v>
      </c>
      <c r="M109" s="1">
        <v>75</v>
      </c>
      <c r="N109" s="1">
        <v>11900</v>
      </c>
      <c r="O109" s="1">
        <v>3000</v>
      </c>
      <c r="P109" s="1">
        <v>1400</v>
      </c>
      <c r="Q109" s="1">
        <v>1436.05</v>
      </c>
      <c r="R109" s="1">
        <v>3000</v>
      </c>
      <c r="S109" s="1" t="s">
        <v>14</v>
      </c>
      <c r="T109" s="1">
        <v>1520</v>
      </c>
      <c r="U109" s="1" t="s">
        <v>14</v>
      </c>
      <c r="V109" s="1" t="s">
        <v>14</v>
      </c>
      <c r="W109" s="1" t="s">
        <v>14</v>
      </c>
      <c r="X109" s="1">
        <v>75</v>
      </c>
      <c r="Y109" s="1" t="s">
        <v>59</v>
      </c>
    </row>
    <row r="110" spans="1:46">
      <c r="A110" t="e">
        <f>"CE"&amp;#REF!</f>
        <v>#REF!</v>
      </c>
      <c r="B110" t="e">
        <f>"PE"&amp;#REF!</f>
        <v>#REF!</v>
      </c>
      <c r="C110" t="s">
        <v>59</v>
      </c>
      <c r="D110" s="1">
        <v>375</v>
      </c>
      <c r="E110" s="1" t="s">
        <v>14</v>
      </c>
      <c r="F110" s="1" t="s">
        <v>14</v>
      </c>
      <c r="G110" s="1" t="s">
        <v>14</v>
      </c>
      <c r="H110" s="1">
        <v>0.25</v>
      </c>
      <c r="I110" s="1" t="s">
        <v>14</v>
      </c>
      <c r="J110" s="1">
        <v>6000</v>
      </c>
      <c r="K110" s="1">
        <v>0.05</v>
      </c>
      <c r="L110" s="1">
        <v>0.8</v>
      </c>
      <c r="M110" s="1">
        <v>75</v>
      </c>
      <c r="N110" s="1">
        <v>11950</v>
      </c>
      <c r="O110" s="1">
        <v>75</v>
      </c>
      <c r="P110" s="1">
        <v>1201.05</v>
      </c>
      <c r="Q110" s="1">
        <v>1794.95</v>
      </c>
      <c r="R110" s="1">
        <v>75</v>
      </c>
      <c r="S110" s="1" t="s">
        <v>14</v>
      </c>
      <c r="T110" s="1">
        <v>1699.4</v>
      </c>
      <c r="U110" s="1" t="s">
        <v>14</v>
      </c>
      <c r="V110" s="1" t="s">
        <v>14</v>
      </c>
      <c r="W110" s="1" t="s">
        <v>14</v>
      </c>
      <c r="X110" s="1">
        <v>375</v>
      </c>
      <c r="Y110" s="1" t="s">
        <v>59</v>
      </c>
    </row>
    <row r="111" spans="1:46">
      <c r="A111" t="e">
        <f>"CE"&amp;#REF!</f>
        <v>#REF!</v>
      </c>
      <c r="B111" t="e">
        <f>"PE"&amp;#REF!</f>
        <v>#REF!</v>
      </c>
      <c r="C111" t="s">
        <v>59</v>
      </c>
      <c r="D111" s="1">
        <v>800100</v>
      </c>
      <c r="E111" s="1">
        <v>-2850</v>
      </c>
      <c r="F111" s="1">
        <v>1594</v>
      </c>
      <c r="G111" s="1">
        <v>31.21</v>
      </c>
      <c r="H111" s="1">
        <v>0.5</v>
      </c>
      <c r="I111" s="1">
        <v>-0.15</v>
      </c>
      <c r="J111" s="1">
        <v>7650</v>
      </c>
      <c r="K111" s="1">
        <v>0.5</v>
      </c>
      <c r="L111" s="1">
        <v>0.6</v>
      </c>
      <c r="M111" s="1">
        <v>7650</v>
      </c>
      <c r="N111" s="1">
        <v>12000</v>
      </c>
      <c r="O111" s="1">
        <v>75</v>
      </c>
      <c r="P111" s="1">
        <v>1517.25</v>
      </c>
      <c r="Q111" s="1">
        <v>1520.95</v>
      </c>
      <c r="R111" s="1">
        <v>75</v>
      </c>
      <c r="S111" s="1">
        <v>-72.25</v>
      </c>
      <c r="T111" s="1">
        <v>1515.55</v>
      </c>
      <c r="U111" s="1">
        <v>44.7</v>
      </c>
      <c r="V111" s="1">
        <v>497</v>
      </c>
      <c r="W111" s="1">
        <v>5100</v>
      </c>
      <c r="X111" s="1">
        <v>1031025</v>
      </c>
      <c r="Y111" s="1" t="s">
        <v>59</v>
      </c>
    </row>
    <row r="112" spans="1:46">
      <c r="A112" t="e">
        <f>"CE"&amp;#REF!</f>
        <v>#REF!</v>
      </c>
      <c r="B112" t="e">
        <f>"PE"&amp;#REF!</f>
        <v>#REF!</v>
      </c>
      <c r="C112" t="s">
        <v>59</v>
      </c>
      <c r="D112" s="1" t="s">
        <v>14</v>
      </c>
      <c r="E112" s="1" t="s">
        <v>14</v>
      </c>
      <c r="F112" s="1" t="s">
        <v>14</v>
      </c>
      <c r="G112" s="1" t="s">
        <v>14</v>
      </c>
      <c r="H112" s="1" t="s">
        <v>14</v>
      </c>
      <c r="I112" s="1" t="s">
        <v>14</v>
      </c>
      <c r="J112" s="1" t="s">
        <v>14</v>
      </c>
      <c r="K112" s="1" t="s">
        <v>14</v>
      </c>
      <c r="L112" s="1">
        <v>1.2</v>
      </c>
      <c r="M112" s="1">
        <v>3000</v>
      </c>
      <c r="N112" s="1">
        <v>12100</v>
      </c>
      <c r="O112" s="1">
        <v>3000</v>
      </c>
      <c r="P112" s="1">
        <v>1599.2</v>
      </c>
      <c r="Q112" s="1">
        <v>1636.05</v>
      </c>
      <c r="R112" s="1">
        <v>3000</v>
      </c>
      <c r="S112" s="1" t="s">
        <v>14</v>
      </c>
      <c r="T112" s="1" t="s">
        <v>14</v>
      </c>
      <c r="U112" s="1" t="s">
        <v>14</v>
      </c>
      <c r="V112" s="1" t="s">
        <v>14</v>
      </c>
      <c r="W112" s="1" t="s">
        <v>14</v>
      </c>
      <c r="X112" s="1" t="s">
        <v>14</v>
      </c>
      <c r="Y112" s="1" t="s">
        <v>59</v>
      </c>
    </row>
    <row r="113" spans="1:25">
      <c r="A113" t="e">
        <f>"CE"&amp;#REF!</f>
        <v>#REF!</v>
      </c>
      <c r="B113" t="e">
        <f>"PE"&amp;#REF!</f>
        <v>#REF!</v>
      </c>
      <c r="C113" t="s">
        <v>59</v>
      </c>
      <c r="D113" s="1">
        <v>450</v>
      </c>
      <c r="E113" s="1" t="s">
        <v>14</v>
      </c>
      <c r="F113" s="1" t="s">
        <v>14</v>
      </c>
      <c r="G113" s="1" t="s">
        <v>14</v>
      </c>
      <c r="H113" s="1">
        <v>0.3</v>
      </c>
      <c r="I113" s="1" t="s">
        <v>14</v>
      </c>
      <c r="J113" s="1" t="s">
        <v>14</v>
      </c>
      <c r="K113" s="1" t="s">
        <v>14</v>
      </c>
      <c r="L113" s="1">
        <v>0.75</v>
      </c>
      <c r="M113" s="1">
        <v>300</v>
      </c>
      <c r="N113" s="1">
        <v>12200</v>
      </c>
      <c r="O113" s="1">
        <v>3000</v>
      </c>
      <c r="P113" s="1">
        <v>1699.2</v>
      </c>
      <c r="Q113" s="1">
        <v>1735.75</v>
      </c>
      <c r="R113" s="1">
        <v>3000</v>
      </c>
      <c r="S113" s="1" t="s">
        <v>14</v>
      </c>
      <c r="T113" s="1">
        <v>2064.15</v>
      </c>
      <c r="U113" s="1" t="s">
        <v>14</v>
      </c>
      <c r="V113" s="1" t="s">
        <v>14</v>
      </c>
      <c r="W113" s="1" t="s">
        <v>14</v>
      </c>
      <c r="X113" s="1">
        <v>450</v>
      </c>
      <c r="Y113" s="1" t="s">
        <v>59</v>
      </c>
    </row>
    <row r="114" spans="1:25">
      <c r="A114" t="e">
        <f>"CE"&amp;#REF!</f>
        <v>#REF!</v>
      </c>
      <c r="B114" t="e">
        <f>"PE"&amp;#REF!</f>
        <v>#REF!</v>
      </c>
      <c r="C114" t="s">
        <v>59</v>
      </c>
      <c r="D114" s="1">
        <v>3450</v>
      </c>
      <c r="E114" s="1" t="s">
        <v>14</v>
      </c>
      <c r="F114" s="1" t="s">
        <v>14</v>
      </c>
      <c r="G114" s="1" t="s">
        <v>14</v>
      </c>
      <c r="H114" s="1">
        <v>0.2</v>
      </c>
      <c r="I114" s="1" t="s">
        <v>14</v>
      </c>
      <c r="J114" s="1">
        <v>2625</v>
      </c>
      <c r="K114" s="1">
        <v>0.1</v>
      </c>
      <c r="L114" s="1">
        <v>0.5</v>
      </c>
      <c r="M114" s="1">
        <v>825</v>
      </c>
      <c r="N114" s="1">
        <v>12300</v>
      </c>
      <c r="O114" s="1">
        <v>3000</v>
      </c>
      <c r="P114" s="1">
        <v>1799.2</v>
      </c>
      <c r="Q114" s="1">
        <v>1835.65</v>
      </c>
      <c r="R114" s="1">
        <v>3000</v>
      </c>
      <c r="S114" s="1" t="s">
        <v>14</v>
      </c>
      <c r="T114" s="1" t="s">
        <v>14</v>
      </c>
      <c r="U114" s="1" t="s">
        <v>14</v>
      </c>
      <c r="V114" s="1" t="s">
        <v>14</v>
      </c>
      <c r="W114" s="1" t="s">
        <v>14</v>
      </c>
      <c r="X114" s="1" t="s">
        <v>14</v>
      </c>
      <c r="Y114" s="1" t="s">
        <v>59</v>
      </c>
    </row>
    <row r="115" spans="1:25">
      <c r="A115" t="e">
        <f>"CE"&amp;#REF!</f>
        <v>#REF!</v>
      </c>
      <c r="B115" t="e">
        <f>"PE"&amp;#REF!</f>
        <v>#REF!</v>
      </c>
      <c r="C115" t="s">
        <v>59</v>
      </c>
      <c r="D115" s="1" t="s">
        <v>14</v>
      </c>
      <c r="E115" s="1" t="s">
        <v>14</v>
      </c>
      <c r="F115" s="1" t="s">
        <v>14</v>
      </c>
      <c r="G115" s="1" t="s">
        <v>14</v>
      </c>
      <c r="H115" s="1" t="s">
        <v>14</v>
      </c>
      <c r="I115" s="1" t="s">
        <v>14</v>
      </c>
      <c r="J115" s="1">
        <v>4950</v>
      </c>
      <c r="K115" s="1">
        <v>0.05</v>
      </c>
      <c r="L115" s="1">
        <v>0.8</v>
      </c>
      <c r="M115" s="1">
        <v>1500</v>
      </c>
      <c r="N115" s="1">
        <v>12400</v>
      </c>
      <c r="O115" s="1">
        <v>3000</v>
      </c>
      <c r="P115" s="1">
        <v>1899.2</v>
      </c>
      <c r="Q115" s="1">
        <v>1935.65</v>
      </c>
      <c r="R115" s="1">
        <v>3000</v>
      </c>
      <c r="S115" s="1" t="s">
        <v>14</v>
      </c>
      <c r="T115" s="1">
        <v>1950.1</v>
      </c>
      <c r="U115" s="1" t="s">
        <v>14</v>
      </c>
      <c r="V115" s="1" t="s">
        <v>14</v>
      </c>
      <c r="W115" s="1" t="s">
        <v>14</v>
      </c>
      <c r="X115" s="1">
        <v>4500</v>
      </c>
      <c r="Y115" s="1" t="s">
        <v>59</v>
      </c>
    </row>
    <row r="116" spans="1:25">
      <c r="A116" t="e">
        <f>"CE"&amp;#REF!</f>
        <v>#REF!</v>
      </c>
      <c r="B116" t="e">
        <f>"PE"&amp;#REF!</f>
        <v>#REF!</v>
      </c>
      <c r="C116" t="s">
        <v>59</v>
      </c>
      <c r="D116" s="1">
        <v>27375</v>
      </c>
      <c r="E116" s="1">
        <v>-1500</v>
      </c>
      <c r="F116" s="1">
        <v>42</v>
      </c>
      <c r="G116" s="1">
        <v>38.29</v>
      </c>
      <c r="H116" s="1">
        <v>0.35</v>
      </c>
      <c r="I116" s="1">
        <v>-0.05</v>
      </c>
      <c r="J116" s="1">
        <v>2175</v>
      </c>
      <c r="K116" s="1">
        <v>0.35</v>
      </c>
      <c r="L116" s="1">
        <v>0.6</v>
      </c>
      <c r="M116" s="1">
        <v>600</v>
      </c>
      <c r="N116" s="1">
        <v>12500</v>
      </c>
      <c r="O116" s="1">
        <v>75</v>
      </c>
      <c r="P116" s="1">
        <v>2014.3</v>
      </c>
      <c r="Q116" s="1">
        <v>2016</v>
      </c>
      <c r="R116" s="1">
        <v>75</v>
      </c>
      <c r="S116" s="1">
        <v>-69</v>
      </c>
      <c r="T116" s="1">
        <v>2016</v>
      </c>
      <c r="U116" s="1">
        <v>57.31</v>
      </c>
      <c r="V116" s="1">
        <v>174</v>
      </c>
      <c r="W116" s="1">
        <v>5475</v>
      </c>
      <c r="X116" s="1">
        <v>185775</v>
      </c>
      <c r="Y116" s="1" t="s">
        <v>59</v>
      </c>
    </row>
    <row r="117" spans="1:25">
      <c r="A117" t="e">
        <f>"CE"&amp;#REF!</f>
        <v>#REF!</v>
      </c>
      <c r="B117" t="e">
        <f>"PE"&amp;#REF!</f>
        <v>#REF!</v>
      </c>
      <c r="C117" t="s">
        <v>59</v>
      </c>
      <c r="D117" s="1">
        <v>13350</v>
      </c>
      <c r="E117" s="1" t="s">
        <v>14</v>
      </c>
      <c r="F117" s="1">
        <v>5</v>
      </c>
      <c r="G117" s="1">
        <v>42.23</v>
      </c>
      <c r="H117" s="1">
        <v>0.65</v>
      </c>
      <c r="I117" s="1">
        <v>0.3</v>
      </c>
      <c r="J117" s="1">
        <v>300</v>
      </c>
      <c r="K117" s="1">
        <v>0.35</v>
      </c>
      <c r="L117" s="1">
        <v>0.65</v>
      </c>
      <c r="M117" s="1">
        <v>1650</v>
      </c>
      <c r="N117" s="1">
        <v>12600</v>
      </c>
      <c r="O117" s="1">
        <v>150</v>
      </c>
      <c r="P117" s="1">
        <v>2111.3000000000002</v>
      </c>
      <c r="Q117" s="1">
        <v>2126.75</v>
      </c>
      <c r="R117" s="1">
        <v>75</v>
      </c>
      <c r="S117" s="1">
        <v>-73.05</v>
      </c>
      <c r="T117" s="1">
        <v>2118</v>
      </c>
      <c r="U117" s="1">
        <v>61.47</v>
      </c>
      <c r="V117" s="1">
        <v>21</v>
      </c>
      <c r="W117" s="1">
        <v>225</v>
      </c>
      <c r="X117" s="1">
        <v>6675</v>
      </c>
      <c r="Y117" s="1" t="s">
        <v>59</v>
      </c>
    </row>
    <row r="118" spans="1:25">
      <c r="A118" t="e">
        <f>"CE"&amp;#REF!</f>
        <v>#REF!</v>
      </c>
      <c r="B118" t="e">
        <f>"PE"&amp;#REF!</f>
        <v>#REF!</v>
      </c>
      <c r="C118" t="s">
        <v>31</v>
      </c>
      <c r="D118" s="1">
        <v>51535975</v>
      </c>
      <c r="E118" s="1"/>
      <c r="F118" s="1">
        <v>933639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>
        <v>1280019</v>
      </c>
      <c r="W118" s="1"/>
      <c r="X118" s="1">
        <v>61021100</v>
      </c>
      <c r="Y118" s="1" t="s">
        <v>31</v>
      </c>
    </row>
    <row r="119" spans="1:25">
      <c r="A119" t="e">
        <f>"CE"&amp;#REF!</f>
        <v>#REF!</v>
      </c>
      <c r="B119" t="e">
        <f>"PE"&amp;#REF!</f>
        <v>#REF!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t="e">
        <f>"CE"&amp;#REF!</f>
        <v>#REF!</v>
      </c>
      <c r="B120" t="e">
        <f>"PE"&amp;#REF!</f>
        <v>#REF!</v>
      </c>
      <c r="C120" t="s">
        <v>53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t="e">
        <f>"CE"&amp;#REF!</f>
        <v>#REF!</v>
      </c>
      <c r="B121" t="e">
        <f>"PE"&amp;#REF!</f>
        <v>#REF!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t="e">
        <f>"CE"&amp;#REF!</f>
        <v>#REF!</v>
      </c>
      <c r="B122" t="e">
        <f>"PE"&amp;#REF!</f>
        <v>#REF!</v>
      </c>
      <c r="C122" t="s">
        <v>54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t="e">
        <f>"CE"&amp;#REF!</f>
        <v>#REF!</v>
      </c>
      <c r="B123" t="e">
        <f>"PE"&amp;#REF!</f>
        <v>#REF!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t="e">
        <f>"CE"&amp;#REF!</f>
        <v>#REF!</v>
      </c>
      <c r="B124" t="e">
        <f>"PE"&amp;#REF!</f>
        <v>#REF!</v>
      </c>
      <c r="C124" t="s">
        <v>60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t="e">
        <f>"CE"&amp;#REF!</f>
        <v>#REF!</v>
      </c>
      <c r="B125" t="e">
        <f>"PE"&amp;#REF!</f>
        <v>#REF!</v>
      </c>
    </row>
    <row r="126" spans="1:25">
      <c r="A126" t="e">
        <f>"CE"&amp;#REF!</f>
        <v>#REF!</v>
      </c>
      <c r="B126" t="e">
        <f>"PE"&amp;#REF!</f>
        <v>#REF!</v>
      </c>
    </row>
    <row r="127" spans="1:25">
      <c r="A127" t="e">
        <f>"CE"&amp;#REF!</f>
        <v>#REF!</v>
      </c>
      <c r="B127" t="e">
        <f>"PE"&amp;#REF!</f>
        <v>#REF!</v>
      </c>
    </row>
    <row r="128" spans="1:25">
      <c r="A128" t="e">
        <f>"CE"&amp;#REF!</f>
        <v>#REF!</v>
      </c>
      <c r="B128" t="e">
        <f>"PE"&amp;#REF!</f>
        <v>#REF!</v>
      </c>
    </row>
    <row r="129" spans="1:25">
      <c r="A129" t="e">
        <f>"CE"&amp;#REF!</f>
        <v>#REF!</v>
      </c>
      <c r="B129" t="e">
        <f>"PE"&amp;#REF!</f>
        <v>#REF!</v>
      </c>
    </row>
    <row r="130" spans="1:25">
      <c r="A130" t="e">
        <f>"CE"&amp;#REF!</f>
        <v>#REF!</v>
      </c>
      <c r="B130" t="e">
        <f>"PE"&amp;#REF!</f>
        <v>#REF!</v>
      </c>
    </row>
    <row r="131" spans="1:25">
      <c r="A131" t="e">
        <f>"CE"&amp;#REF!</f>
        <v>#REF!</v>
      </c>
      <c r="B131" t="e">
        <f>"PE"&amp;#REF!</f>
        <v>#REF!</v>
      </c>
    </row>
    <row r="132" spans="1:25">
      <c r="A132" t="e">
        <f>"CE"&amp;#REF!</f>
        <v>#REF!</v>
      </c>
      <c r="B132" t="e">
        <f>"PE"&amp;#REF!</f>
        <v>#REF!</v>
      </c>
    </row>
    <row r="133" spans="1:25">
      <c r="A133" t="e">
        <f>"CE"&amp;#REF!</f>
        <v>#REF!</v>
      </c>
      <c r="B133" t="e">
        <f>"PE"&amp;#REF!</f>
        <v>#REF!</v>
      </c>
    </row>
    <row r="134" spans="1:25">
      <c r="A134" t="e">
        <f>"CE"&amp;#REF!</f>
        <v>#REF!</v>
      </c>
      <c r="B134" t="e">
        <f>"PE"&amp;#REF!</f>
        <v>#REF!</v>
      </c>
    </row>
    <row r="135" spans="1:25">
      <c r="A135" t="e">
        <f>"CE"&amp;#REF!</f>
        <v>#REF!</v>
      </c>
      <c r="B135" t="e">
        <f>"PE"&amp;#REF!</f>
        <v>#REF!</v>
      </c>
    </row>
    <row r="136" spans="1:25">
      <c r="A136" t="e">
        <f>"CE"&amp;#REF!</f>
        <v>#REF!</v>
      </c>
      <c r="B136" t="e">
        <f>"PE"&amp;#REF!</f>
        <v>#REF!</v>
      </c>
    </row>
    <row r="137" spans="1:25">
      <c r="A137" t="e">
        <f>"CE"&amp;#REF!</f>
        <v>#REF!</v>
      </c>
      <c r="B137" t="e">
        <f>"PE"&amp;#REF!</f>
        <v>#REF!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9" spans="1: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</sheetData>
  <sortState ref="C1:E88">
    <sortCondition ref="D1:D88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98"/>
  <sheetViews>
    <sheetView zoomScale="90" zoomScaleNormal="90" zoomScalePageLayoutView="90" workbookViewId="0">
      <selection activeCell="K7" sqref="K7"/>
    </sheetView>
  </sheetViews>
  <sheetFormatPr baseColWidth="10" defaultColWidth="7.6640625" defaultRowHeight="14" x14ac:dyDescent="0"/>
  <cols>
    <col min="1" max="1" width="9.5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90" t="s">
        <v>43</v>
      </c>
      <c r="R1" s="91"/>
      <c r="S1" s="92"/>
      <c r="T1" s="67" t="s">
        <v>42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Nifty'!A4</f>
        <v>10463.200000000001</v>
      </c>
      <c r="K2" s="2"/>
      <c r="L2" s="6" t="str">
        <f>'Data Nifty'!A2</f>
        <v>Last Update @   15:30:3</v>
      </c>
      <c r="M2" s="7"/>
      <c r="N2" s="7"/>
      <c r="O2" s="71" t="str">
        <f>'Data Nifty'!A1</f>
        <v xml:space="preserve"> Dec 19, 201</v>
      </c>
      <c r="P2" s="2"/>
      <c r="Q2" s="72" t="s">
        <v>45</v>
      </c>
      <c r="R2" s="69" t="s">
        <v>44</v>
      </c>
      <c r="S2" s="72" t="s">
        <v>46</v>
      </c>
      <c r="T2" s="73">
        <f ca="1">TODAY()</f>
        <v>43088</v>
      </c>
      <c r="U2" s="2"/>
    </row>
    <row r="3" spans="1:21" ht="18">
      <c r="A3" s="2"/>
      <c r="B3" s="2"/>
      <c r="C3" s="2"/>
      <c r="D3" s="7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8"/>
      <c r="Q3" s="68">
        <v>0.72</v>
      </c>
      <c r="R3" s="70">
        <f>'PAIN Nifty'!B23</f>
        <v>0</v>
      </c>
      <c r="S3" s="68">
        <v>1.6</v>
      </c>
      <c r="T3" s="68"/>
      <c r="U3" s="2"/>
    </row>
    <row r="4" spans="1:21">
      <c r="A4" s="2"/>
      <c r="B4" s="2"/>
      <c r="C4" s="2"/>
      <c r="D4" s="93" t="str">
        <f>'Data Nifty'!C3</f>
        <v xml:space="preserve">View Options Contracts for: </v>
      </c>
      <c r="E4" s="94"/>
      <c r="F4" s="94"/>
      <c r="G4" s="94"/>
      <c r="H4" s="94"/>
      <c r="I4" s="95"/>
      <c r="J4" s="95"/>
      <c r="K4" s="96"/>
      <c r="L4" s="8"/>
      <c r="M4" s="97">
        <f>'Data Nifty'!O3</f>
        <v>0</v>
      </c>
      <c r="N4" s="98"/>
      <c r="O4" s="98"/>
      <c r="P4" s="99"/>
      <c r="Q4" s="99"/>
      <c r="R4" s="99"/>
      <c r="S4" s="99"/>
      <c r="T4" s="10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32</v>
      </c>
      <c r="H5" s="11" t="s">
        <v>40</v>
      </c>
      <c r="I5" s="11" t="s">
        <v>39</v>
      </c>
      <c r="J5" s="11" t="s">
        <v>41</v>
      </c>
      <c r="K5" s="11" t="s">
        <v>38</v>
      </c>
      <c r="L5" s="12" t="s">
        <v>20</v>
      </c>
      <c r="M5" s="11" t="s">
        <v>35</v>
      </c>
      <c r="N5" s="11" t="s">
        <v>34</v>
      </c>
      <c r="O5" s="11" t="s">
        <v>36</v>
      </c>
      <c r="P5" s="11" t="s">
        <v>37</v>
      </c>
      <c r="Q5" s="11" t="s">
        <v>33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CE9700</v>
      </c>
      <c r="B6" s="56" t="str">
        <f t="shared" ref="B6:B21" si="1">"PE"&amp;L6</f>
        <v>PE9700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Short covering</v>
      </c>
      <c r="E6" s="15" t="str">
        <f t="shared" ref="E6:E20" si="3">IF(I6&gt;0,"UP","DOWN")</f>
        <v>DOWN</v>
      </c>
      <c r="F6" s="16" t="str">
        <f t="shared" ref="F6:F20" si="4">IF(J6&gt;0,"UP","DOWN")</f>
        <v>UP</v>
      </c>
      <c r="G6" s="17">
        <f>VLOOKUP(A6,'Data Nifty'!A$11:AZ$113,6,0)</f>
        <v>345</v>
      </c>
      <c r="H6" s="18">
        <f>VLOOKUP(A6,'Data Nifty'!A$11:AZ$113,4,0)</f>
        <v>245700</v>
      </c>
      <c r="I6" s="64">
        <f>VLOOKUP(A6,'Data Nifty'!A$11:AZ$113,5,0)</f>
        <v>-14550</v>
      </c>
      <c r="J6" s="16">
        <f>VLOOKUP(A6,'Data Nifty'!A$11:AZ$113,9,0)</f>
        <v>72.75</v>
      </c>
      <c r="K6" s="16">
        <f>VLOOKUP(A6,'Data Nifty'!A$11:AZ$113,8,0)</f>
        <v>772.25</v>
      </c>
      <c r="L6" s="19">
        <f>L14-800</f>
        <v>9700</v>
      </c>
      <c r="M6" s="16">
        <f>VLOOKUP(B6,'Data Nifty'!B$11:BN$113,19,0)</f>
        <v>2.7</v>
      </c>
      <c r="N6" s="16">
        <f>VLOOKUP(B6,'Data Nifty'!B$11:BN$113,18,0)</f>
        <v>-2.2999999999999998</v>
      </c>
      <c r="O6" s="64">
        <f>VLOOKUP(B6,'Data Nifty'!B$11:BN$113,22,0)</f>
        <v>300</v>
      </c>
      <c r="P6" s="18">
        <f>VLOOKUP(B6,'Data Nifty'!B$11:BN$113,23,0)</f>
        <v>2381475</v>
      </c>
      <c r="Q6" s="17">
        <f>VLOOKUP(B6,'Data Nifty'!B$11:BN$113,21,0)</f>
        <v>29684</v>
      </c>
      <c r="R6" s="16" t="str">
        <f t="shared" ref="R6:R21" si="5">IF(N6&gt;0,"UP","DOWN")</f>
        <v>DOWN</v>
      </c>
      <c r="S6" s="20" t="str">
        <f t="shared" ref="S6:S21" si="6">IF(O6&gt;0,"UP","DOWN")</f>
        <v>UP</v>
      </c>
      <c r="T6" s="21" t="str">
        <f t="shared" ref="T6:T21" si="7">IF(AND(N6&lt;0,O6&lt;0),"Long Liquidation",IF(AND(N6&lt;0,O6&gt;0),"Short Buildup",IF(AND(N6&gt;0,O6&gt;0),"Long Buildup",IF(AND(N6&gt;0,O6&lt;0),"Short covering"))))</f>
        <v>Short Buildup</v>
      </c>
      <c r="U6" s="2"/>
    </row>
    <row r="7" spans="1:21">
      <c r="A7" s="56" t="str">
        <f>"CE"&amp;L7</f>
        <v>CE9800</v>
      </c>
      <c r="B7" s="56" t="str">
        <f>"PE"&amp;L7</f>
        <v>PE9800</v>
      </c>
      <c r="C7" s="2"/>
      <c r="D7" s="14" t="str">
        <f>IF(AND(J7&lt;0,I7&lt;0),"Long Liquidation",IF(AND(J7&lt;0,I7&gt;0),"Short Buildup",IF(AND(J7&gt;0,I7&gt;0),"Long Buildup",IF(AND(J7&gt;0,I7&lt;0),"Short covering"))))</f>
        <v>Short covering</v>
      </c>
      <c r="E7" s="15" t="str">
        <f>IF(I7&gt;0,"UP","DOWN")</f>
        <v>DOWN</v>
      </c>
      <c r="F7" s="16" t="str">
        <f>IF(J7&gt;0,"UP","DOWN")</f>
        <v>UP</v>
      </c>
      <c r="G7" s="17">
        <f>VLOOKUP(A7,'Data Nifty'!A$11:AZ$113,6,0)</f>
        <v>220</v>
      </c>
      <c r="H7" s="18">
        <f>VLOOKUP(A7,'Data Nifty'!A$11:AZ$113,4,0)</f>
        <v>229200</v>
      </c>
      <c r="I7" s="64">
        <f>VLOOKUP(A7,'Data Nifty'!A$11:AZ$113,5,0)</f>
        <v>-6750</v>
      </c>
      <c r="J7" s="16">
        <f>VLOOKUP(A7,'Data Nifty'!A$11:AZ$113,9,0)</f>
        <v>61.45</v>
      </c>
      <c r="K7" s="16">
        <f>VLOOKUP(A7,'Data Nifty'!A$11:AZ$113,8,0)</f>
        <v>670</v>
      </c>
      <c r="L7" s="19">
        <f>L14-700</f>
        <v>9800</v>
      </c>
      <c r="M7" s="16">
        <f>VLOOKUP(B7,'Data Nifty'!B$11:BN$113,19,0)</f>
        <v>3.4</v>
      </c>
      <c r="N7" s="16">
        <f>VLOOKUP(B7,'Data Nifty'!B$11:BN$113,18,0)</f>
        <v>-3.25</v>
      </c>
      <c r="O7" s="64">
        <f>VLOOKUP(B7,'Data Nifty'!B$11:BN$113,22,0)</f>
        <v>-56250</v>
      </c>
      <c r="P7" s="18">
        <f>VLOOKUP(B7,'Data Nifty'!B$11:BN$113,23,0)</f>
        <v>4252650</v>
      </c>
      <c r="Q7" s="17">
        <f>VLOOKUP(B7,'Data Nifty'!B$11:BN$113,21,0)</f>
        <v>36802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CE9900</v>
      </c>
      <c r="B8" s="56" t="str">
        <f t="shared" si="1"/>
        <v>PE9900</v>
      </c>
      <c r="C8" s="2"/>
      <c r="D8" s="14" t="str">
        <f t="shared" si="2"/>
        <v>Short covering</v>
      </c>
      <c r="E8" s="15" t="str">
        <f t="shared" si="3"/>
        <v>DOWN</v>
      </c>
      <c r="F8" s="16" t="str">
        <f t="shared" si="4"/>
        <v>UP</v>
      </c>
      <c r="G8" s="17">
        <f>VLOOKUP(A8,'Data Nifty'!A$11:AZ$113,6,0)</f>
        <v>211</v>
      </c>
      <c r="H8" s="18">
        <f>VLOOKUP(A8,'Data Nifty'!A$11:AZ$113,4,0)</f>
        <v>265125</v>
      </c>
      <c r="I8" s="64">
        <f>VLOOKUP(A8,'Data Nifty'!A$11:AZ$113,5,0)</f>
        <v>-6300</v>
      </c>
      <c r="J8" s="16">
        <f>VLOOKUP(A8,'Data Nifty'!A$11:AZ$113,9,0)</f>
        <v>62.15</v>
      </c>
      <c r="K8" s="16">
        <f>VLOOKUP(A8,'Data Nifty'!A$11:AZ$113,8,0)</f>
        <v>570.9</v>
      </c>
      <c r="L8" s="19">
        <f>L14-600</f>
        <v>9900</v>
      </c>
      <c r="M8" s="16">
        <f>VLOOKUP(B8,'Data Nifty'!B$11:BN$113,19,0)</f>
        <v>4.4000000000000004</v>
      </c>
      <c r="N8" s="16">
        <f>VLOOKUP(B8,'Data Nifty'!B$11:BN$113,18,0)</f>
        <v>-5.15</v>
      </c>
      <c r="O8" s="64">
        <f>VLOOKUP(B8,'Data Nifty'!B$11:BN$113,22,0)</f>
        <v>148500</v>
      </c>
      <c r="P8" s="18">
        <f>VLOOKUP(B8,'Data Nifty'!B$11:BN$113,23,0)</f>
        <v>2556225</v>
      </c>
      <c r="Q8" s="17">
        <f>VLOOKUP(B8,'Data Nifty'!B$11:BN$113,21,0)</f>
        <v>44264</v>
      </c>
      <c r="R8" s="16" t="str">
        <f t="shared" si="5"/>
        <v>DOWN</v>
      </c>
      <c r="S8" s="20" t="str">
        <f t="shared" si="6"/>
        <v>UP</v>
      </c>
      <c r="T8" s="21" t="str">
        <f t="shared" si="7"/>
        <v>Short Buildup</v>
      </c>
      <c r="U8" s="2"/>
    </row>
    <row r="9" spans="1:21">
      <c r="A9" s="56" t="str">
        <f t="shared" si="0"/>
        <v>CE10000</v>
      </c>
      <c r="B9" s="56" t="str">
        <f t="shared" si="1"/>
        <v>PE10000</v>
      </c>
      <c r="C9" s="2"/>
      <c r="D9" s="14" t="str">
        <f t="shared" si="2"/>
        <v>Short covering</v>
      </c>
      <c r="E9" s="15" t="str">
        <f t="shared" si="3"/>
        <v>DOWN</v>
      </c>
      <c r="F9" s="16" t="str">
        <f t="shared" si="4"/>
        <v>UP</v>
      </c>
      <c r="G9" s="17">
        <f>VLOOKUP(A9,'Data Nifty'!A$11:AZ$113,6,0)</f>
        <v>3922</v>
      </c>
      <c r="H9" s="18">
        <f>VLOOKUP(A9,'Data Nifty'!A$11:AZ$113,4,0)</f>
        <v>2200725</v>
      </c>
      <c r="I9" s="64">
        <f>VLOOKUP(A9,'Data Nifty'!A$11:AZ$113,5,0)</f>
        <v>-14925</v>
      </c>
      <c r="J9" s="16">
        <f>VLOOKUP(A9,'Data Nifty'!A$11:AZ$113,9,0)</f>
        <v>58.05</v>
      </c>
      <c r="K9" s="16">
        <f>VLOOKUP(A9,'Data Nifty'!A$11:AZ$113,8,0)</f>
        <v>475</v>
      </c>
      <c r="L9" s="19">
        <f>L14-500</f>
        <v>10000</v>
      </c>
      <c r="M9" s="16">
        <f>VLOOKUP(B9,'Data Nifty'!B$11:BN$113,19,0)</f>
        <v>6.75</v>
      </c>
      <c r="N9" s="16">
        <f>VLOOKUP(B9,'Data Nifty'!B$11:BN$113,18,0)</f>
        <v>-6.75</v>
      </c>
      <c r="O9" s="64">
        <f>VLOOKUP(B9,'Data Nifty'!B$11:BN$113,22,0)</f>
        <v>151875</v>
      </c>
      <c r="P9" s="18">
        <f>VLOOKUP(B9,'Data Nifty'!B$11:BN$113,23,0)</f>
        <v>8299875</v>
      </c>
      <c r="Q9" s="17">
        <f>VLOOKUP(B9,'Data Nifty'!B$11:BN$113,21,0)</f>
        <v>96265</v>
      </c>
      <c r="R9" s="16" t="str">
        <f t="shared" si="5"/>
        <v>DOWN</v>
      </c>
      <c r="S9" s="20" t="str">
        <f t="shared" si="6"/>
        <v>UP</v>
      </c>
      <c r="T9" s="21" t="str">
        <f t="shared" si="7"/>
        <v>Short Buildup</v>
      </c>
      <c r="U9" s="2"/>
    </row>
    <row r="10" spans="1:21">
      <c r="A10" s="56" t="str">
        <f t="shared" si="0"/>
        <v>CE10100</v>
      </c>
      <c r="B10" s="56" t="str">
        <f t="shared" si="1"/>
        <v>PE10100</v>
      </c>
      <c r="C10" s="2"/>
      <c r="D10" s="14" t="str">
        <f t="shared" si="2"/>
        <v>Short covering</v>
      </c>
      <c r="E10" s="15" t="str">
        <f t="shared" si="3"/>
        <v>DOWN</v>
      </c>
      <c r="F10" s="16" t="str">
        <f t="shared" si="4"/>
        <v>UP</v>
      </c>
      <c r="G10" s="17">
        <f>VLOOKUP(A10,'Data Nifty'!A$11:AZ$113,6,0)</f>
        <v>3985</v>
      </c>
      <c r="H10" s="18">
        <f>VLOOKUP(A10,'Data Nifty'!A$11:AZ$113,4,0)</f>
        <v>1290675</v>
      </c>
      <c r="I10" s="64">
        <f>VLOOKUP(A10,'Data Nifty'!A$11:AZ$113,5,0)</f>
        <v>-54150</v>
      </c>
      <c r="J10" s="16">
        <f>VLOOKUP(A10,'Data Nifty'!A$11:AZ$113,9,0)</f>
        <v>57.25</v>
      </c>
      <c r="K10" s="16">
        <f>VLOOKUP(A10,'Data Nifty'!A$11:AZ$113,8,0)</f>
        <v>379.7</v>
      </c>
      <c r="L10" s="19">
        <f>L14-400</f>
        <v>10100</v>
      </c>
      <c r="M10" s="16">
        <f>VLOOKUP(B10,'Data Nifty'!B$11:BN$113,19,0)</f>
        <v>9.5500000000000007</v>
      </c>
      <c r="N10" s="16">
        <f>VLOOKUP(B10,'Data Nifty'!B$11:BN$113,18,0)</f>
        <v>-10.199999999999999</v>
      </c>
      <c r="O10" s="64">
        <f>VLOOKUP(B10,'Data Nifty'!B$11:BN$113,22,0)</f>
        <v>136275</v>
      </c>
      <c r="P10" s="18">
        <f>VLOOKUP(B10,'Data Nifty'!B$11:BN$113,23,0)</f>
        <v>4283550</v>
      </c>
      <c r="Q10" s="17">
        <f>VLOOKUP(B10,'Data Nifty'!B$11:BN$113,21,0)</f>
        <v>92876</v>
      </c>
      <c r="R10" s="16" t="str">
        <f t="shared" si="5"/>
        <v>DOWN</v>
      </c>
      <c r="S10" s="20" t="str">
        <f t="shared" si="6"/>
        <v>UP</v>
      </c>
      <c r="T10" s="21" t="str">
        <f t="shared" si="7"/>
        <v>Short Buildup</v>
      </c>
      <c r="U10" s="2"/>
    </row>
    <row r="11" spans="1:21">
      <c r="A11" s="56" t="str">
        <f t="shared" si="0"/>
        <v>CE10200</v>
      </c>
      <c r="B11" s="56" t="str">
        <f t="shared" si="1"/>
        <v>PE10200</v>
      </c>
      <c r="C11" s="2"/>
      <c r="D11" s="14" t="str">
        <f t="shared" si="2"/>
        <v>Short covering</v>
      </c>
      <c r="E11" s="15" t="str">
        <f t="shared" si="3"/>
        <v>DOWN</v>
      </c>
      <c r="F11" s="16" t="str">
        <f t="shared" si="4"/>
        <v>UP</v>
      </c>
      <c r="G11" s="17">
        <f>VLOOKUP(A11,'Data Nifty'!A$11:AZ$113,6,0)</f>
        <v>15241</v>
      </c>
      <c r="H11" s="18">
        <f>VLOOKUP(A11,'Data Nifty'!A$11:AZ$113,4,0)</f>
        <v>1917450</v>
      </c>
      <c r="I11" s="64">
        <f>VLOOKUP(A11,'Data Nifty'!A$11:AZ$113,5,0)</f>
        <v>-267375</v>
      </c>
      <c r="J11" s="16">
        <f>VLOOKUP(A11,'Data Nifty'!A$11:AZ$113,9,0)</f>
        <v>53.35</v>
      </c>
      <c r="K11" s="16">
        <f>VLOOKUP(A11,'Data Nifty'!A$11:AZ$113,8,0)</f>
        <v>283.75</v>
      </c>
      <c r="L11" s="19">
        <f>L14-300</f>
        <v>10200</v>
      </c>
      <c r="M11" s="16">
        <f>VLOOKUP(B11,'Data Nifty'!B$11:BN$113,19,0)</f>
        <v>15.45</v>
      </c>
      <c r="N11" s="16">
        <f>VLOOKUP(B11,'Data Nifty'!B$11:BN$113,18,0)</f>
        <v>-14.5</v>
      </c>
      <c r="O11" s="64">
        <f>VLOOKUP(B11,'Data Nifty'!B$11:BN$113,22,0)</f>
        <v>33900</v>
      </c>
      <c r="P11" s="18">
        <f>VLOOKUP(B11,'Data Nifty'!B$11:BN$113,23,0)</f>
        <v>5084450</v>
      </c>
      <c r="Q11" s="17">
        <f>VLOOKUP(B11,'Data Nifty'!B$11:BN$113,21,0)</f>
        <v>160229</v>
      </c>
      <c r="R11" s="16" t="str">
        <f t="shared" si="5"/>
        <v>DOWN</v>
      </c>
      <c r="S11" s="20" t="str">
        <f t="shared" si="6"/>
        <v>UP</v>
      </c>
      <c r="T11" s="21" t="str">
        <f t="shared" si="7"/>
        <v>Short Buildup</v>
      </c>
      <c r="U11" s="2"/>
    </row>
    <row r="12" spans="1:21">
      <c r="A12" s="56" t="str">
        <f t="shared" si="0"/>
        <v>CE10300</v>
      </c>
      <c r="B12" s="56" t="str">
        <f t="shared" si="1"/>
        <v>PE10300</v>
      </c>
      <c r="C12" s="2"/>
      <c r="D12" s="14" t="str">
        <f t="shared" si="2"/>
        <v>Short covering</v>
      </c>
      <c r="E12" s="15" t="str">
        <f t="shared" si="3"/>
        <v>DOWN</v>
      </c>
      <c r="F12" s="16" t="str">
        <f t="shared" si="4"/>
        <v>UP</v>
      </c>
      <c r="G12" s="17">
        <f>VLOOKUP(A12,'Data Nifty'!A$11:AZ$113,6,0)</f>
        <v>43354</v>
      </c>
      <c r="H12" s="18">
        <f>VLOOKUP(A12,'Data Nifty'!A$11:AZ$113,4,0)</f>
        <v>2573700</v>
      </c>
      <c r="I12" s="64">
        <f>VLOOKUP(A12,'Data Nifty'!A$11:AZ$113,5,0)</f>
        <v>-195975</v>
      </c>
      <c r="J12" s="16">
        <f>VLOOKUP(A12,'Data Nifty'!A$11:AZ$113,9,0)</f>
        <v>44.15</v>
      </c>
      <c r="K12" s="16">
        <f>VLOOKUP(A12,'Data Nifty'!A$11:AZ$113,8,0)</f>
        <v>193.3</v>
      </c>
      <c r="L12" s="19">
        <f>L14-200</f>
        <v>10300</v>
      </c>
      <c r="M12" s="16">
        <f>VLOOKUP(B12,'Data Nifty'!B$11:BN$113,19,0)</f>
        <v>25.65</v>
      </c>
      <c r="N12" s="16">
        <f>VLOOKUP(B12,'Data Nifty'!B$11:BN$113,18,0)</f>
        <v>-21.75</v>
      </c>
      <c r="O12" s="64">
        <f>VLOOKUP(B12,'Data Nifty'!B$11:BN$113,22,0)</f>
        <v>420300</v>
      </c>
      <c r="P12" s="18">
        <f>VLOOKUP(B12,'Data Nifty'!B$11:BN$113,23,0)</f>
        <v>4980975</v>
      </c>
      <c r="Q12" s="17">
        <f>VLOOKUP(B12,'Data Nifty'!B$11:BN$113,21,0)</f>
        <v>222344</v>
      </c>
      <c r="R12" s="16" t="str">
        <f t="shared" si="5"/>
        <v>DOWN</v>
      </c>
      <c r="S12" s="20" t="str">
        <f t="shared" si="6"/>
        <v>UP</v>
      </c>
      <c r="T12" s="21" t="str">
        <f t="shared" si="7"/>
        <v>Short Buildup</v>
      </c>
      <c r="U12" s="2"/>
    </row>
    <row r="13" spans="1:21">
      <c r="A13" s="56" t="str">
        <f t="shared" si="0"/>
        <v>CE10400</v>
      </c>
      <c r="B13" s="56" t="str">
        <f t="shared" si="1"/>
        <v>PE10400</v>
      </c>
      <c r="C13" s="2"/>
      <c r="D13" s="14" t="str">
        <f t="shared" si="2"/>
        <v>Short covering</v>
      </c>
      <c r="E13" s="15" t="str">
        <f t="shared" si="3"/>
        <v>DOWN</v>
      </c>
      <c r="F13" s="16" t="str">
        <f t="shared" si="4"/>
        <v>UP</v>
      </c>
      <c r="G13" s="17">
        <f>VLOOKUP(A13,'Data Nifty'!A$11:AZ$113,6,0)</f>
        <v>190971</v>
      </c>
      <c r="H13" s="18">
        <f>VLOOKUP(A13,'Data Nifty'!A$11:AZ$113,4,0)</f>
        <v>3700650</v>
      </c>
      <c r="I13" s="64">
        <f>VLOOKUP(A13,'Data Nifty'!A$11:AZ$113,5,0)</f>
        <v>-429525</v>
      </c>
      <c r="J13" s="16">
        <f>VLOOKUP(A13,'Data Nifty'!A$11:AZ$113,9,0)</f>
        <v>25.95</v>
      </c>
      <c r="K13" s="16">
        <f>VLOOKUP(A13,'Data Nifty'!A$11:AZ$113,8,0)</f>
        <v>109.1</v>
      </c>
      <c r="L13" s="19">
        <f>L14-100</f>
        <v>10400</v>
      </c>
      <c r="M13" s="16">
        <f>VLOOKUP(B13,'Data Nifty'!B$11:BN$113,19,0)</f>
        <v>44.05</v>
      </c>
      <c r="N13" s="16">
        <f>VLOOKUP(B13,'Data Nifty'!B$11:BN$113,18,0)</f>
        <v>-34.65</v>
      </c>
      <c r="O13" s="64">
        <f>VLOOKUP(B13,'Data Nifty'!B$11:BN$113,22,0)</f>
        <v>1931725</v>
      </c>
      <c r="P13" s="18">
        <f>VLOOKUP(B13,'Data Nifty'!B$11:BN$113,23,0)</f>
        <v>5173325</v>
      </c>
      <c r="Q13" s="17">
        <f>VLOOKUP(B13,'Data Nifty'!B$11:BN$113,21,0)</f>
        <v>291449</v>
      </c>
      <c r="R13" s="16" t="str">
        <f t="shared" si="5"/>
        <v>DOWN</v>
      </c>
      <c r="S13" s="20" t="str">
        <f t="shared" si="6"/>
        <v>UP</v>
      </c>
      <c r="T13" s="21" t="str">
        <f t="shared" si="7"/>
        <v>Short Buildup</v>
      </c>
      <c r="U13" s="2"/>
    </row>
    <row r="14" spans="1:21" ht="15">
      <c r="A14" s="56" t="str">
        <f t="shared" si="0"/>
        <v>CE10500</v>
      </c>
      <c r="B14" s="56" t="str">
        <f t="shared" si="1"/>
        <v>PE10500</v>
      </c>
      <c r="C14" s="2"/>
      <c r="D14" s="14" t="str">
        <f t="shared" si="2"/>
        <v>Short covering</v>
      </c>
      <c r="E14" s="15" t="str">
        <f t="shared" si="3"/>
        <v>DOWN</v>
      </c>
      <c r="F14" s="16" t="str">
        <f t="shared" si="4"/>
        <v>UP</v>
      </c>
      <c r="G14" s="17">
        <f>VLOOKUP(A14,'Data Nifty'!A$11:AZ$113,6,0)</f>
        <v>256003</v>
      </c>
      <c r="H14" s="18">
        <f>VLOOKUP(A14,'Data Nifty'!A$11:AZ$113,4,0)</f>
        <v>6250875</v>
      </c>
      <c r="I14" s="64">
        <f>VLOOKUP(A14,'Data Nifty'!A$11:AZ$113,5,0)</f>
        <v>-991725</v>
      </c>
      <c r="J14" s="16">
        <f>VLOOKUP(A14,'Data Nifty'!A$11:AZ$113,9,0)</f>
        <v>11.4</v>
      </c>
      <c r="K14" s="16">
        <f>VLOOKUP(A14,'Data Nifty'!A$11:AZ$113,8,0)</f>
        <v>50.85</v>
      </c>
      <c r="L14" s="22">
        <f>'Data Nifty'!A5</f>
        <v>10500</v>
      </c>
      <c r="M14" s="16">
        <f>VLOOKUP(B14,'Data Nifty'!B$11:BN$113,19,0)</f>
        <v>81.95</v>
      </c>
      <c r="N14" s="16">
        <f>VLOOKUP(B14,'Data Nifty'!B$11:BN$113,18,0)</f>
        <v>-50.75</v>
      </c>
      <c r="O14" s="64">
        <f>VLOOKUP(B14,'Data Nifty'!B$11:BN$113,22,0)</f>
        <v>510525</v>
      </c>
      <c r="P14" s="18">
        <f>VLOOKUP(B14,'Data Nifty'!B$11:BN$113,23,0)</f>
        <v>1953650</v>
      </c>
      <c r="Q14" s="17">
        <f>VLOOKUP(B14,'Data Nifty'!B$11:BN$113,21,0)</f>
        <v>73830</v>
      </c>
      <c r="R14" s="16" t="str">
        <f t="shared" si="5"/>
        <v>DOWN</v>
      </c>
      <c r="S14" s="20" t="str">
        <f t="shared" si="6"/>
        <v>UP</v>
      </c>
      <c r="T14" s="21" t="str">
        <f t="shared" si="7"/>
        <v>Short Buildup</v>
      </c>
      <c r="U14" s="2"/>
    </row>
    <row r="15" spans="1:21">
      <c r="A15" s="56" t="str">
        <f t="shared" si="0"/>
        <v>CE9500</v>
      </c>
      <c r="B15" s="56" t="str">
        <f t="shared" si="1"/>
        <v>PE9500</v>
      </c>
      <c r="C15" s="2"/>
      <c r="D15" s="14" t="str">
        <f t="shared" si="2"/>
        <v>Short covering</v>
      </c>
      <c r="E15" s="15" t="str">
        <f t="shared" si="3"/>
        <v>DOWN</v>
      </c>
      <c r="F15" s="16" t="str">
        <f t="shared" si="4"/>
        <v>UP</v>
      </c>
      <c r="G15" s="17">
        <f>VLOOKUP(A15,'Data Nifty'!A$11:AZ$113,6,0)</f>
        <v>1103</v>
      </c>
      <c r="H15" s="18">
        <f>VLOOKUP(A15,'Data Nifty'!A$11:AZ$113,4,0)</f>
        <v>863700</v>
      </c>
      <c r="I15" s="64">
        <f>VLOOKUP(A15,'Data Nifty'!A$11:AZ$113,5,0)</f>
        <v>-19200</v>
      </c>
      <c r="J15" s="16">
        <f>VLOOKUP(A15,'Data Nifty'!A$11:AZ$113,9,0)</f>
        <v>66.150000000000006</v>
      </c>
      <c r="K15" s="16">
        <f>VLOOKUP(A15,'Data Nifty'!A$11:AZ$113,8,0)</f>
        <v>970</v>
      </c>
      <c r="L15" s="19">
        <f t="shared" ref="L15:L21" si="8">L14+100</f>
        <v>10600</v>
      </c>
      <c r="M15" s="16">
        <f>VLOOKUP(B15,'Data Nifty'!B$11:BN$113,19,0)</f>
        <v>2.15</v>
      </c>
      <c r="N15" s="16">
        <f>VLOOKUP(B15,'Data Nifty'!B$11:BN$113,18,0)</f>
        <v>-1.3</v>
      </c>
      <c r="O15" s="64">
        <f>VLOOKUP(B15,'Data Nifty'!B$11:BN$113,22,0)</f>
        <v>-165700</v>
      </c>
      <c r="P15" s="18">
        <f>VLOOKUP(B15,'Data Nifty'!B$11:BN$113,23,0)</f>
        <v>3289050</v>
      </c>
      <c r="Q15" s="17">
        <f>VLOOKUP(B15,'Data Nifty'!B$11:BN$113,21,0)</f>
        <v>25054</v>
      </c>
      <c r="R15" s="16" t="str">
        <f t="shared" si="5"/>
        <v>DOWN</v>
      </c>
      <c r="S15" s="20" t="str">
        <f t="shared" si="6"/>
        <v>DOWN</v>
      </c>
      <c r="T15" s="21" t="str">
        <f t="shared" si="7"/>
        <v>Long Liquidation</v>
      </c>
      <c r="U15" s="2"/>
    </row>
    <row r="16" spans="1:21">
      <c r="A16" s="56" t="str">
        <f t="shared" si="0"/>
        <v>CE9600</v>
      </c>
      <c r="B16" s="56" t="str">
        <f t="shared" si="1"/>
        <v>PE9600</v>
      </c>
      <c r="C16" s="2"/>
      <c r="D16" s="14" t="str">
        <f t="shared" si="2"/>
        <v>Short covering</v>
      </c>
      <c r="E16" s="15" t="str">
        <f t="shared" si="3"/>
        <v>DOWN</v>
      </c>
      <c r="F16" s="16" t="str">
        <f t="shared" si="4"/>
        <v>UP</v>
      </c>
      <c r="G16" s="17">
        <f>VLOOKUP(A16,'Data Nifty'!A$11:AZ$113,6,0)</f>
        <v>27</v>
      </c>
      <c r="H16" s="18">
        <f>VLOOKUP(A16,'Data Nifty'!A$11:AZ$113,4,0)</f>
        <v>77625</v>
      </c>
      <c r="I16" s="64">
        <f>VLOOKUP(A16,'Data Nifty'!A$11:AZ$113,5,0)</f>
        <v>-1425</v>
      </c>
      <c r="J16" s="16">
        <f>VLOOKUP(A16,'Data Nifty'!A$11:AZ$113,9,0)</f>
        <v>58.15</v>
      </c>
      <c r="K16" s="16">
        <f>VLOOKUP(A16,'Data Nifty'!A$11:AZ$113,8,0)</f>
        <v>867</v>
      </c>
      <c r="L16" s="19">
        <f t="shared" si="8"/>
        <v>10700</v>
      </c>
      <c r="M16" s="16">
        <f>VLOOKUP(B16,'Data Nifty'!B$11:BN$113,19,0)</f>
        <v>2.35</v>
      </c>
      <c r="N16" s="16">
        <f>VLOOKUP(B16,'Data Nifty'!B$11:BN$113,18,0)</f>
        <v>-1.8</v>
      </c>
      <c r="O16" s="64">
        <f>VLOOKUP(B16,'Data Nifty'!B$11:BN$113,22,0)</f>
        <v>-42150</v>
      </c>
      <c r="P16" s="18">
        <f>VLOOKUP(B16,'Data Nifty'!B$11:BN$113,23,0)</f>
        <v>1824125</v>
      </c>
      <c r="Q16" s="17">
        <f>VLOOKUP(B16,'Data Nifty'!B$11:BN$113,21,0)</f>
        <v>25873</v>
      </c>
      <c r="R16" s="16" t="str">
        <f t="shared" si="5"/>
        <v>DOWN</v>
      </c>
      <c r="S16" s="20" t="str">
        <f t="shared" si="6"/>
        <v>DOWN</v>
      </c>
      <c r="T16" s="21" t="str">
        <f t="shared" si="7"/>
        <v>Long Liquidation</v>
      </c>
      <c r="U16" s="2"/>
    </row>
    <row r="17" spans="1:21">
      <c r="A17" s="56" t="str">
        <f t="shared" si="0"/>
        <v>CE10800</v>
      </c>
      <c r="B17" s="56" t="str">
        <f t="shared" si="1"/>
        <v>PE10800</v>
      </c>
      <c r="C17" s="2"/>
      <c r="D17" s="14" t="str">
        <f t="shared" si="2"/>
        <v>Long Liquidation</v>
      </c>
      <c r="E17" s="15" t="str">
        <f t="shared" si="3"/>
        <v>DOWN</v>
      </c>
      <c r="F17" s="16" t="str">
        <f t="shared" si="4"/>
        <v>DOWN</v>
      </c>
      <c r="G17" s="17">
        <f>VLOOKUP(A17,'Data Nifty'!A$11:AZ$113,6,0)</f>
        <v>49502</v>
      </c>
      <c r="H17" s="18">
        <f>VLOOKUP(A17,'Data Nifty'!A$11:AZ$113,4,0)</f>
        <v>2509500</v>
      </c>
      <c r="I17" s="64">
        <f>VLOOKUP(A17,'Data Nifty'!A$11:AZ$113,5,0)</f>
        <v>-516000</v>
      </c>
      <c r="J17" s="16">
        <f>VLOOKUP(A17,'Data Nifty'!A$11:AZ$113,9,0)</f>
        <v>-1.25</v>
      </c>
      <c r="K17" s="16">
        <f>VLOOKUP(A17,'Data Nifty'!A$11:AZ$113,8,0)</f>
        <v>2.0499999999999998</v>
      </c>
      <c r="L17" s="19">
        <f t="shared" si="8"/>
        <v>10800</v>
      </c>
      <c r="M17" s="16">
        <f>VLOOKUP(B17,'Data Nifty'!B$11:BN$113,19,0)</f>
        <v>324.05</v>
      </c>
      <c r="N17" s="16">
        <f>VLOOKUP(B17,'Data Nifty'!B$11:BN$113,18,0)</f>
        <v>-64.900000000000006</v>
      </c>
      <c r="O17" s="64">
        <f>VLOOKUP(B17,'Data Nifty'!B$11:BN$113,22,0)</f>
        <v>8100</v>
      </c>
      <c r="P17" s="18">
        <f>VLOOKUP(B17,'Data Nifty'!B$11:BN$113,23,0)</f>
        <v>109725</v>
      </c>
      <c r="Q17" s="17">
        <f>VLOOKUP(B17,'Data Nifty'!B$11:BN$113,21,0)</f>
        <v>566</v>
      </c>
      <c r="R17" s="16" t="str">
        <f t="shared" si="5"/>
        <v>DOWN</v>
      </c>
      <c r="S17" s="20" t="str">
        <f t="shared" si="6"/>
        <v>UP</v>
      </c>
      <c r="T17" s="21" t="str">
        <f t="shared" si="7"/>
        <v>Short Buildup</v>
      </c>
      <c r="U17" s="2"/>
    </row>
    <row r="18" spans="1:21">
      <c r="A18" s="56" t="str">
        <f t="shared" si="0"/>
        <v>CE9800</v>
      </c>
      <c r="B18" s="56" t="str">
        <f t="shared" si="1"/>
        <v>PE9800</v>
      </c>
      <c r="C18" s="2"/>
      <c r="D18" s="14" t="str">
        <f t="shared" si="2"/>
        <v>Short covering</v>
      </c>
      <c r="E18" s="15" t="str">
        <f t="shared" si="3"/>
        <v>DOWN</v>
      </c>
      <c r="F18" s="16" t="str">
        <f t="shared" si="4"/>
        <v>UP</v>
      </c>
      <c r="G18" s="17">
        <f>VLOOKUP(A18,'Data Nifty'!A$11:AZ$113,6,0)</f>
        <v>220</v>
      </c>
      <c r="H18" s="18">
        <f>VLOOKUP(A18,'Data Nifty'!A$11:AZ$113,4,0)</f>
        <v>229200</v>
      </c>
      <c r="I18" s="64">
        <f>VLOOKUP(A18,'Data Nifty'!A$11:AZ$113,5,0)</f>
        <v>-6750</v>
      </c>
      <c r="J18" s="16">
        <f>VLOOKUP(A18,'Data Nifty'!A$11:AZ$113,9,0)</f>
        <v>61.45</v>
      </c>
      <c r="K18" s="16">
        <f>VLOOKUP(A18,'Data Nifty'!A$11:AZ$113,8,0)</f>
        <v>670</v>
      </c>
      <c r="L18" s="19">
        <f t="shared" si="8"/>
        <v>10900</v>
      </c>
      <c r="M18" s="16">
        <f>VLOOKUP(B18,'Data Nifty'!B$11:BN$113,19,0)</f>
        <v>3.4</v>
      </c>
      <c r="N18" s="16">
        <f>VLOOKUP(B18,'Data Nifty'!B$11:BN$113,18,0)</f>
        <v>-3.25</v>
      </c>
      <c r="O18" s="64">
        <f>VLOOKUP(B18,'Data Nifty'!B$11:BN$113,22,0)</f>
        <v>-56250</v>
      </c>
      <c r="P18" s="18">
        <f>VLOOKUP(B18,'Data Nifty'!B$11:BN$113,23,0)</f>
        <v>4252650</v>
      </c>
      <c r="Q18" s="17">
        <f>VLOOKUP(B18,'Data Nifty'!B$11:BN$113,21,0)</f>
        <v>36802</v>
      </c>
      <c r="R18" s="16" t="str">
        <f t="shared" si="5"/>
        <v>DOWN</v>
      </c>
      <c r="S18" s="20" t="str">
        <f t="shared" si="6"/>
        <v>DOWN</v>
      </c>
      <c r="T18" s="21" t="str">
        <f t="shared" si="7"/>
        <v>Long Liquidation</v>
      </c>
      <c r="U18" s="2"/>
    </row>
    <row r="19" spans="1:21">
      <c r="A19" s="56" t="str">
        <f t="shared" si="0"/>
        <v>CE9900</v>
      </c>
      <c r="B19" s="56" t="str">
        <f t="shared" si="1"/>
        <v>PE9900</v>
      </c>
      <c r="C19" s="2"/>
      <c r="D19" s="14" t="str">
        <f t="shared" si="2"/>
        <v>Short covering</v>
      </c>
      <c r="E19" s="15" t="str">
        <f t="shared" si="3"/>
        <v>DOWN</v>
      </c>
      <c r="F19" s="16" t="str">
        <f t="shared" si="4"/>
        <v>UP</v>
      </c>
      <c r="G19" s="17">
        <f>VLOOKUP(A19,'Data Nifty'!A$11:AZ$113,6,0)</f>
        <v>211</v>
      </c>
      <c r="H19" s="18">
        <f>VLOOKUP(A19,'Data Nifty'!A$11:AZ$113,4,0)</f>
        <v>265125</v>
      </c>
      <c r="I19" s="64">
        <f>VLOOKUP(A19,'Data Nifty'!A$11:AZ$113,5,0)</f>
        <v>-6300</v>
      </c>
      <c r="J19" s="16">
        <f>VLOOKUP(A19,'Data Nifty'!A$11:AZ$113,9,0)</f>
        <v>62.15</v>
      </c>
      <c r="K19" s="16">
        <f>VLOOKUP(A19,'Data Nifty'!A$11:AZ$113,8,0)</f>
        <v>570.9</v>
      </c>
      <c r="L19" s="19">
        <f t="shared" si="8"/>
        <v>11000</v>
      </c>
      <c r="M19" s="16">
        <f>VLOOKUP(B19,'Data Nifty'!B$11:BN$113,19,0)</f>
        <v>4.4000000000000004</v>
      </c>
      <c r="N19" s="16">
        <f>VLOOKUP(B19,'Data Nifty'!B$11:BN$113,18,0)</f>
        <v>-5.15</v>
      </c>
      <c r="O19" s="64">
        <f>VLOOKUP(B19,'Data Nifty'!B$11:BN$113,22,0)</f>
        <v>148500</v>
      </c>
      <c r="P19" s="18">
        <f>VLOOKUP(B19,'Data Nifty'!B$11:BN$113,23,0)</f>
        <v>2556225</v>
      </c>
      <c r="Q19" s="17">
        <f>VLOOKUP(B19,'Data Nifty'!B$11:BN$113,21,0)</f>
        <v>44264</v>
      </c>
      <c r="R19" s="16" t="str">
        <f t="shared" si="5"/>
        <v>DOWN</v>
      </c>
      <c r="S19" s="20" t="str">
        <f t="shared" si="6"/>
        <v>UP</v>
      </c>
      <c r="T19" s="21" t="str">
        <f t="shared" si="7"/>
        <v>Short Buildup</v>
      </c>
      <c r="U19" s="2"/>
    </row>
    <row r="20" spans="1:21">
      <c r="A20" s="56" t="str">
        <f t="shared" si="0"/>
        <v>CE10000</v>
      </c>
      <c r="B20" s="56" t="str">
        <f t="shared" si="1"/>
        <v>PE10000</v>
      </c>
      <c r="C20" s="2"/>
      <c r="D20" s="14" t="str">
        <f t="shared" si="2"/>
        <v>Short covering</v>
      </c>
      <c r="E20" s="15" t="str">
        <f t="shared" si="3"/>
        <v>DOWN</v>
      </c>
      <c r="F20" s="16" t="str">
        <f t="shared" si="4"/>
        <v>UP</v>
      </c>
      <c r="G20" s="17">
        <f>VLOOKUP(A20,'Data Nifty'!A$11:AZ$113,6,0)</f>
        <v>3922</v>
      </c>
      <c r="H20" s="18">
        <f>VLOOKUP(A20,'Data Nifty'!A$11:AZ$113,4,0)</f>
        <v>2200725</v>
      </c>
      <c r="I20" s="64">
        <f>VLOOKUP(A20,'Data Nifty'!A$11:AZ$113,5,0)</f>
        <v>-14925</v>
      </c>
      <c r="J20" s="16">
        <f>VLOOKUP(A20,'Data Nifty'!A$11:AZ$113,9,0)</f>
        <v>58.05</v>
      </c>
      <c r="K20" s="16">
        <f>VLOOKUP(A20,'Data Nifty'!A$11:AZ$113,8,0)</f>
        <v>475</v>
      </c>
      <c r="L20" s="19">
        <f t="shared" si="8"/>
        <v>11100</v>
      </c>
      <c r="M20" s="16">
        <f>VLOOKUP(B20,'Data Nifty'!B$11:BN$113,19,0)</f>
        <v>6.75</v>
      </c>
      <c r="N20" s="16">
        <f>VLOOKUP(B20,'Data Nifty'!B$11:BN$113,18,0)</f>
        <v>-6.75</v>
      </c>
      <c r="O20" s="64">
        <f>VLOOKUP(B20,'Data Nifty'!B$11:BN$113,22,0)</f>
        <v>151875</v>
      </c>
      <c r="P20" s="18">
        <f>VLOOKUP(B20,'Data Nifty'!B$11:BN$113,23,0)</f>
        <v>8299875</v>
      </c>
      <c r="Q20" s="17">
        <f>VLOOKUP(B20,'Data Nifty'!B$11:BN$113,21,0)</f>
        <v>96265</v>
      </c>
      <c r="R20" s="16" t="str">
        <f t="shared" si="5"/>
        <v>DOWN</v>
      </c>
      <c r="S20" s="20" t="str">
        <f t="shared" si="6"/>
        <v>UP</v>
      </c>
      <c r="T20" s="21" t="str">
        <f t="shared" si="7"/>
        <v>Short Buildup</v>
      </c>
      <c r="U20" s="2"/>
    </row>
    <row r="21" spans="1:21">
      <c r="A21" s="56" t="str">
        <f t="shared" si="0"/>
        <v>CE10100</v>
      </c>
      <c r="B21" s="56" t="str">
        <f t="shared" si="1"/>
        <v>PE10100</v>
      </c>
      <c r="C21" s="2"/>
      <c r="D21" s="14" t="str">
        <f>IF(AND(J21&lt;0,I21&lt;0),"Long Liquidation",IF(AND(J21&lt;0,I21&gt;0),"Short Buildup",IF(AND(J21&gt;0,I21&gt;0),"Long Buildup",IF(AND(J21&gt;0,I21&lt;0),"Short covering"))))</f>
        <v>Short covering</v>
      </c>
      <c r="E21" s="15" t="str">
        <f>IF(I21&gt;0,"UP","DOWN")</f>
        <v>DOWN</v>
      </c>
      <c r="F21" s="16" t="str">
        <f>IF(J21&gt;0,"UP","DOWN")</f>
        <v>UP</v>
      </c>
      <c r="G21" s="17">
        <f>VLOOKUP(A21,'Data Nifty'!A$11:AZ$113,6,0)</f>
        <v>3985</v>
      </c>
      <c r="H21" s="18">
        <f>VLOOKUP(A21,'Data Nifty'!A$11:AZ$113,4,0)</f>
        <v>1290675</v>
      </c>
      <c r="I21" s="64">
        <f>VLOOKUP(A21,'Data Nifty'!A$11:AZ$113,5,0)</f>
        <v>-54150</v>
      </c>
      <c r="J21" s="16">
        <f>VLOOKUP(A21,'Data Nifty'!A$11:AZ$113,9,0)</f>
        <v>57.25</v>
      </c>
      <c r="K21" s="16">
        <f>VLOOKUP(A21,'Data Nifty'!A$11:AZ$113,8,0)</f>
        <v>379.7</v>
      </c>
      <c r="L21" s="19">
        <f t="shared" si="8"/>
        <v>11200</v>
      </c>
      <c r="M21" s="16">
        <f>VLOOKUP(B21,'Data Nifty'!B$11:BN$113,19,0)</f>
        <v>9.5500000000000007</v>
      </c>
      <c r="N21" s="16">
        <f>VLOOKUP(B21,'Data Nifty'!B$11:BN$113,18,0)</f>
        <v>-10.199999999999999</v>
      </c>
      <c r="O21" s="64">
        <f>VLOOKUP(B21,'Data Nifty'!B$11:BN$113,22,0)</f>
        <v>136275</v>
      </c>
      <c r="P21" s="18">
        <f>VLOOKUP(B21,'Data Nifty'!B$11:BN$113,23,0)</f>
        <v>4283550</v>
      </c>
      <c r="Q21" s="17">
        <f>VLOOKUP(B21,'Data Nifty'!B$11:BN$113,21,0)</f>
        <v>92876</v>
      </c>
      <c r="R21" s="16" t="str">
        <f t="shared" si="5"/>
        <v>DOWN</v>
      </c>
      <c r="S21" s="20" t="str">
        <f t="shared" si="6"/>
        <v>UP</v>
      </c>
      <c r="T21" s="21" t="str">
        <f t="shared" si="7"/>
        <v>Short Buildup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89" t="s">
        <v>0</v>
      </c>
      <c r="F75" s="89"/>
      <c r="G75" s="89"/>
      <c r="H75" s="89"/>
      <c r="I75" s="2"/>
      <c r="J75" s="2"/>
      <c r="K75" s="2"/>
      <c r="L75" s="2"/>
      <c r="M75" s="2"/>
      <c r="N75" s="3"/>
      <c r="O75" s="89" t="s">
        <v>1</v>
      </c>
      <c r="P75" s="89"/>
      <c r="Q75" s="89"/>
      <c r="R75" s="8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9800</v>
      </c>
      <c r="G94" s="60">
        <f>L8</f>
        <v>9900</v>
      </c>
      <c r="H94" s="60">
        <f>L9</f>
        <v>10000</v>
      </c>
      <c r="I94" s="60">
        <f>L10</f>
        <v>10100</v>
      </c>
      <c r="J94" s="61">
        <f>L11</f>
        <v>10200</v>
      </c>
      <c r="K94" s="60">
        <f>L12</f>
        <v>10300</v>
      </c>
      <c r="L94" s="60">
        <f>L13</f>
        <v>10400</v>
      </c>
      <c r="M94" s="61">
        <f>L14</f>
        <v>10500</v>
      </c>
      <c r="N94" s="60">
        <f>L15</f>
        <v>10600</v>
      </c>
      <c r="O94" s="62">
        <f>L16</f>
        <v>10700</v>
      </c>
      <c r="P94" s="60">
        <f>L17</f>
        <v>10800</v>
      </c>
      <c r="Q94" s="61">
        <f>L18</f>
        <v>10900</v>
      </c>
      <c r="R94" s="60">
        <f>L19</f>
        <v>11000</v>
      </c>
      <c r="S94" s="62">
        <f>L20</f>
        <v>11100</v>
      </c>
      <c r="T94" s="8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BUY</v>
      </c>
      <c r="L95" s="43" t="str">
        <f>IF(I13&lt;G13,"BUY","SELL")</f>
        <v>BUY</v>
      </c>
      <c r="M95" s="45" t="str">
        <f>IF(I14&lt;G14,"BUY","SELL")</f>
        <v>BUY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8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SELL</v>
      </c>
      <c r="H96" s="50" t="str">
        <f>IF(O9&lt;Q9,"BUY","SELL")</f>
        <v>SELL</v>
      </c>
      <c r="I96" s="50" t="str">
        <f>IF(O10&lt;Q10,"BUY","SELL")</f>
        <v>SELL</v>
      </c>
      <c r="J96" s="51" t="str">
        <f>IF(O11&lt;Q11,"BUY","SELL")</f>
        <v>BUY</v>
      </c>
      <c r="K96" s="50" t="str">
        <f>IF(O12&lt;Q12,"BUY","SELL")</f>
        <v>SELL</v>
      </c>
      <c r="L96" s="50" t="str">
        <f>IF(O13&lt;Q13,"BUY","SELL")</f>
        <v>SELL</v>
      </c>
      <c r="M96" s="52" t="str">
        <f>IF(O14&lt;Q14,"BUY","SELL")</f>
        <v>SELL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SELL</v>
      </c>
      <c r="Q96" s="54" t="str">
        <f>IF(O18&lt;Q18,"BUY","SELL")</f>
        <v>BUY</v>
      </c>
      <c r="R96" s="53" t="str">
        <f>IF(O19&lt;Q19,"BUY","SELL")</f>
        <v>SELL</v>
      </c>
      <c r="S96" s="53" t="str">
        <f>IF(O20&lt;Q20,"BUY","SELL")</f>
        <v>SELL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dataConsolidate function="max">
    <dataRefs count="1">
      <dataRef ref="H6:H20" sheet="MAIN OI"/>
    </dataRefs>
  </dataConsolidate>
  <mergeCells count="6">
    <mergeCell ref="T94:T95"/>
    <mergeCell ref="E75:H75"/>
    <mergeCell ref="Q1:S1"/>
    <mergeCell ref="D4:K4"/>
    <mergeCell ref="M4:T4"/>
    <mergeCell ref="O75:R75"/>
  </mergeCells>
  <conditionalFormatting sqref="T6:T21 D6:D21">
    <cfRule type="containsText" dxfId="33" priority="26" operator="containsText" text="Short Buildup">
      <formula>NOT(ISERROR(SEARCH("Short Buildup",D6)))</formula>
    </cfRule>
    <cfRule type="containsText" dxfId="32" priority="27" operator="containsText" text="Long Liquidation">
      <formula>NOT(ISERROR(SEARCH("Long Liquidation",D6)))</formula>
    </cfRule>
    <cfRule type="containsText" dxfId="31" priority="28" operator="containsText" text="Short covering">
      <formula>NOT(ISERROR(SEARCH("Short covering",D6)))</formula>
    </cfRule>
    <cfRule type="containsText" dxfId="30" priority="29" operator="containsText" text="Long Buildup">
      <formula>NOT(ISERROR(SEARCH("Long Buildup",D6)))</formula>
    </cfRule>
  </conditionalFormatting>
  <conditionalFormatting sqref="R6:S21 E6:F21">
    <cfRule type="containsText" dxfId="29" priority="25" operator="containsText" text="DOWN">
      <formula>NOT(ISERROR(SEARCH("DOWN",E6)))</formula>
    </cfRule>
  </conditionalFormatting>
  <conditionalFormatting sqref="R6:S21 E6:F21">
    <cfRule type="containsText" dxfId="28" priority="24" operator="containsText" text="UP">
      <formula>NOT(ISERROR(SEARCH("UP",E6)))</formula>
    </cfRule>
  </conditionalFormatting>
  <conditionalFormatting sqref="F95:S96">
    <cfRule type="containsText" dxfId="27" priority="1" operator="containsText" text="SELL">
      <formula>NOT(ISERROR(SEARCH("SELL",F95)))</formula>
    </cfRule>
    <cfRule type="containsText" dxfId="26" priority="19" operator="containsText" text="BUY">
      <formula>NOT(ISERROR(SEARCH("BUY",F95)))</formula>
    </cfRule>
  </conditionalFormatting>
  <conditionalFormatting sqref="J6:J21">
    <cfRule type="colorScale" priority="115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16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7">
      <dataBar>
        <cfvo type="min"/>
        <cfvo type="max"/>
        <color rgb="FFFF555A"/>
      </dataBar>
    </cfRule>
  </conditionalFormatting>
  <conditionalFormatting sqref="G6:G21">
    <cfRule type="dataBar" priority="118">
      <dataBar>
        <cfvo type="min"/>
        <cfvo type="max"/>
        <color rgb="FFFF555A"/>
      </dataBar>
    </cfRule>
  </conditionalFormatting>
  <conditionalFormatting sqref="H6:H21">
    <cfRule type="top10" dxfId="25" priority="119" rank="1"/>
  </conditionalFormatting>
  <conditionalFormatting sqref="P6:P21">
    <cfRule type="top10" dxfId="24" priority="120" rank="1"/>
  </conditionalFormatting>
  <conditionalFormatting sqref="I6:I21 O6:O21">
    <cfRule type="cellIs" dxfId="23" priority="121" operator="equal">
      <formula>$H$165</formula>
    </cfRule>
  </conditionalFormatting>
  <conditionalFormatting sqref="O6:O21">
    <cfRule type="cellIs" dxfId="22" priority="123" operator="equal">
      <formula>$J$165</formula>
    </cfRule>
  </conditionalFormatting>
  <conditionalFormatting sqref="I6:I21">
    <cfRule type="top10" dxfId="21" priority="124" rank="1"/>
    <cfRule type="cellIs" dxfId="20" priority="125" operator="equal">
      <formula>$H$163</formula>
    </cfRule>
  </conditionalFormatting>
  <conditionalFormatting sqref="I6:I21 O6:O21">
    <cfRule type="cellIs" dxfId="19" priority="126" operator="equal">
      <formula>$F$158</formula>
    </cfRule>
  </conditionalFormatting>
  <conditionalFormatting sqref="O6:O21">
    <cfRule type="top10" dxfId="18" priority="128" rank="1"/>
    <cfRule type="cellIs" dxfId="17" priority="129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opLeftCell="A37" workbookViewId="0">
      <selection activeCell="A56" sqref="A56"/>
    </sheetView>
  </sheetViews>
  <sheetFormatPr baseColWidth="10" defaultColWidth="8.83203125" defaultRowHeight="14" x14ac:dyDescent="0"/>
  <cols>
    <col min="1" max="1" width="20.33203125" bestFit="1" customWidth="1"/>
    <col min="2" max="2" width="11.33203125" bestFit="1" customWidth="1"/>
    <col min="3" max="3" width="27" bestFit="1" customWidth="1"/>
    <col min="4" max="4" width="59.33203125" bestFit="1" customWidth="1"/>
    <col min="5" max="5" width="8.83203125" customWidth="1"/>
    <col min="6" max="6" width="8.6640625" customWidth="1"/>
    <col min="7" max="7" width="6.83203125" customWidth="1"/>
    <col min="8" max="8" width="7.6640625" customWidth="1"/>
    <col min="9" max="9" width="8" customWidth="1"/>
    <col min="10" max="10" width="6.1640625" customWidth="1"/>
    <col min="11" max="12" width="7.6640625" customWidth="1"/>
    <col min="13" max="13" width="5.1640625" customWidth="1"/>
    <col min="14" max="14" width="9.6640625" bestFit="1" customWidth="1"/>
    <col min="15" max="15" width="5.1640625" customWidth="1"/>
    <col min="16" max="17" width="7.6640625" customWidth="1"/>
    <col min="18" max="18" width="5.1640625" customWidth="1"/>
    <col min="19" max="19" width="8" customWidth="1"/>
    <col min="20" max="20" width="7.6640625" customWidth="1"/>
    <col min="21" max="21" width="6.83203125" customWidth="1"/>
    <col min="22" max="22" width="8.6640625" customWidth="1"/>
    <col min="23" max="23" width="8.83203125" customWidth="1"/>
    <col min="24" max="24" width="8.6640625" customWidth="1"/>
    <col min="25" max="25" width="5.1640625" customWidth="1"/>
  </cols>
  <sheetData>
    <row r="1" spans="1:25">
      <c r="A1" s="75" t="str">
        <f>MID(D1,45,12)</f>
        <v>May 24, 2017</v>
      </c>
      <c r="B1" s="77"/>
      <c r="C1" t="s">
        <v>15</v>
      </c>
      <c r="D1" t="s">
        <v>58</v>
      </c>
    </row>
    <row r="2" spans="1:25">
      <c r="A2" s="75" t="str">
        <f>"Last Update @  "&amp;MID(D1,58,8)</f>
        <v>Last Update @  15:30:29</v>
      </c>
      <c r="B2" s="77"/>
      <c r="C2" t="s">
        <v>49</v>
      </c>
    </row>
    <row r="3" spans="1:25">
      <c r="A3" s="76" t="str">
        <f>MID(D1,19,9)</f>
        <v>BANKNIFTY</v>
      </c>
      <c r="B3" s="77"/>
      <c r="C3" t="s">
        <v>50</v>
      </c>
    </row>
    <row r="4" spans="1:25">
      <c r="A4" s="76">
        <f>VALUE(MID(D1,29,8))</f>
        <v>22536.3</v>
      </c>
      <c r="B4" s="77"/>
      <c r="C4" t="s">
        <v>51</v>
      </c>
    </row>
    <row r="5" spans="1:25">
      <c r="A5" s="76">
        <f>ROUND(A4,-2)</f>
        <v>22500</v>
      </c>
      <c r="B5" s="77"/>
      <c r="C5" t="s">
        <v>52</v>
      </c>
    </row>
    <row r="6" spans="1:25">
      <c r="A6" t="str">
        <f>"CE"&amp;N6</f>
        <v>CE</v>
      </c>
      <c r="B6" t="str">
        <f>"PE"&amp;N6</f>
        <v>PE</v>
      </c>
    </row>
    <row r="7" spans="1:25">
      <c r="A7" t="str">
        <f t="shared" ref="A7:A65" si="0">"CE"&amp;N7</f>
        <v>CE</v>
      </c>
      <c r="B7" t="str">
        <f t="shared" ref="B7:B65" si="1">"PE"&amp;N7</f>
        <v>PE</v>
      </c>
    </row>
    <row r="8" spans="1:25">
      <c r="A8" t="str">
        <f t="shared" si="0"/>
        <v>CE</v>
      </c>
      <c r="B8" t="str">
        <f t="shared" si="1"/>
        <v>PE</v>
      </c>
      <c r="C8" t="s">
        <v>0</v>
      </c>
      <c r="O8" t="s">
        <v>1</v>
      </c>
    </row>
    <row r="9" spans="1:25">
      <c r="A9" t="str">
        <f t="shared" si="0"/>
        <v>CEStrike Price</v>
      </c>
      <c r="B9" t="str">
        <f t="shared" si="1"/>
        <v>PEStrike Price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9</v>
      </c>
      <c r="L9" t="s">
        <v>12</v>
      </c>
      <c r="M9" t="s">
        <v>12</v>
      </c>
      <c r="N9" t="s">
        <v>13</v>
      </c>
      <c r="O9" t="s">
        <v>9</v>
      </c>
      <c r="P9" t="s">
        <v>9</v>
      </c>
      <c r="Q9" t="s">
        <v>12</v>
      </c>
      <c r="R9" t="s">
        <v>12</v>
      </c>
      <c r="S9" t="s">
        <v>8</v>
      </c>
      <c r="T9" t="s">
        <v>7</v>
      </c>
      <c r="U9" t="s">
        <v>6</v>
      </c>
      <c r="V9" t="s">
        <v>5</v>
      </c>
      <c r="W9" t="s">
        <v>4</v>
      </c>
      <c r="X9" t="s">
        <v>3</v>
      </c>
      <c r="Y9" t="s">
        <v>2</v>
      </c>
    </row>
    <row r="10" spans="1:25">
      <c r="A10" t="str">
        <f t="shared" si="0"/>
        <v>CE</v>
      </c>
      <c r="B10" t="str">
        <f t="shared" si="1"/>
        <v>PE</v>
      </c>
      <c r="J10" t="s">
        <v>10</v>
      </c>
      <c r="K10" t="s">
        <v>11</v>
      </c>
      <c r="L10" t="s">
        <v>11</v>
      </c>
      <c r="M10" t="s">
        <v>10</v>
      </c>
      <c r="O10" t="s">
        <v>10</v>
      </c>
      <c r="P10" t="s">
        <v>11</v>
      </c>
      <c r="Q10" t="s">
        <v>11</v>
      </c>
      <c r="R10" t="s">
        <v>10</v>
      </c>
    </row>
    <row r="11" spans="1:25">
      <c r="A11" t="str">
        <f t="shared" si="0"/>
        <v>CE18900</v>
      </c>
      <c r="B11" t="str">
        <f t="shared" si="1"/>
        <v>PE18900</v>
      </c>
      <c r="D11" s="1">
        <v>2560</v>
      </c>
      <c r="E11" s="1">
        <v>-1440</v>
      </c>
      <c r="F11">
        <v>38</v>
      </c>
      <c r="G11">
        <v>195.49</v>
      </c>
      <c r="H11" s="81">
        <v>3678</v>
      </c>
      <c r="I11">
        <v>38.15</v>
      </c>
      <c r="J11" s="1">
        <v>40</v>
      </c>
      <c r="K11" s="81">
        <v>3598.45</v>
      </c>
      <c r="L11" s="81">
        <v>3639.15</v>
      </c>
      <c r="M11">
        <v>160</v>
      </c>
      <c r="N11">
        <v>18900</v>
      </c>
      <c r="O11" s="1">
        <v>400</v>
      </c>
      <c r="P11">
        <v>0.6</v>
      </c>
      <c r="Q11">
        <v>1.4</v>
      </c>
      <c r="R11" s="1">
        <v>800</v>
      </c>
      <c r="S11">
        <v>1</v>
      </c>
      <c r="T11">
        <v>1.2</v>
      </c>
      <c r="U11">
        <v>122.56</v>
      </c>
      <c r="V11">
        <v>49</v>
      </c>
      <c r="W11">
        <v>-560</v>
      </c>
      <c r="X11" s="1">
        <v>3080</v>
      </c>
    </row>
    <row r="12" spans="1:25">
      <c r="A12" t="str">
        <f t="shared" si="0"/>
        <v>CE19000</v>
      </c>
      <c r="B12" t="str">
        <f t="shared" si="1"/>
        <v>PE19000</v>
      </c>
      <c r="D12" s="1">
        <v>69280</v>
      </c>
      <c r="E12" s="1">
        <v>-18000</v>
      </c>
      <c r="F12">
        <v>464</v>
      </c>
      <c r="G12" t="s">
        <v>14</v>
      </c>
      <c r="H12" s="81">
        <v>3527.25</v>
      </c>
      <c r="I12">
        <v>-13.35</v>
      </c>
      <c r="J12" s="1">
        <v>40</v>
      </c>
      <c r="K12" s="81">
        <v>3507.05</v>
      </c>
      <c r="L12" s="81">
        <v>3536.15</v>
      </c>
      <c r="M12">
        <v>120</v>
      </c>
      <c r="N12">
        <v>19000</v>
      </c>
      <c r="O12" s="1">
        <v>400</v>
      </c>
      <c r="P12">
        <v>0.35</v>
      </c>
      <c r="Q12">
        <v>0.85</v>
      </c>
      <c r="R12" s="1">
        <v>240</v>
      </c>
      <c r="S12">
        <v>0.4</v>
      </c>
      <c r="T12">
        <v>1</v>
      </c>
      <c r="U12">
        <v>117.1</v>
      </c>
      <c r="V12" s="1">
        <v>8034</v>
      </c>
      <c r="W12" s="1">
        <v>-3080</v>
      </c>
      <c r="X12" s="1">
        <v>46080</v>
      </c>
    </row>
    <row r="13" spans="1:25">
      <c r="A13" t="str">
        <f t="shared" si="0"/>
        <v>CE19100</v>
      </c>
      <c r="B13" t="str">
        <f t="shared" si="1"/>
        <v>PE19100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s="1">
        <v>40</v>
      </c>
      <c r="K13" s="81">
        <v>3301.05</v>
      </c>
      <c r="L13" s="81">
        <v>3583.15</v>
      </c>
      <c r="M13">
        <v>40</v>
      </c>
      <c r="N13">
        <v>19100</v>
      </c>
      <c r="O13" s="1" t="s">
        <v>14</v>
      </c>
      <c r="P13" t="s">
        <v>14</v>
      </c>
      <c r="Q13">
        <v>2.4</v>
      </c>
      <c r="R13" s="1">
        <v>800</v>
      </c>
      <c r="S13" t="s">
        <v>14</v>
      </c>
      <c r="T13" t="s">
        <v>14</v>
      </c>
      <c r="U13" t="s">
        <v>14</v>
      </c>
      <c r="V13" t="s">
        <v>14</v>
      </c>
      <c r="W13" s="1" t="s">
        <v>14</v>
      </c>
      <c r="X13" s="1" t="s">
        <v>14</v>
      </c>
    </row>
    <row r="14" spans="1:25">
      <c r="A14" t="str">
        <f t="shared" si="0"/>
        <v>CE19200</v>
      </c>
      <c r="B14" t="str">
        <f t="shared" si="1"/>
        <v>PE19200</v>
      </c>
      <c r="D14" s="1">
        <v>3360</v>
      </c>
      <c r="E14" s="1">
        <v>-5000</v>
      </c>
      <c r="F14">
        <v>125</v>
      </c>
      <c r="G14" t="s">
        <v>14</v>
      </c>
      <c r="H14" s="81">
        <v>3275</v>
      </c>
      <c r="I14">
        <v>-45</v>
      </c>
      <c r="J14" s="1">
        <v>1000</v>
      </c>
      <c r="K14" s="81">
        <v>2856.5</v>
      </c>
      <c r="L14" s="81">
        <v>3337.95</v>
      </c>
      <c r="M14">
        <v>40</v>
      </c>
      <c r="N14">
        <v>19200</v>
      </c>
      <c r="O14" s="1">
        <v>800</v>
      </c>
      <c r="P14">
        <v>0.4</v>
      </c>
      <c r="Q14">
        <v>1</v>
      </c>
      <c r="R14" s="1">
        <v>3200</v>
      </c>
      <c r="S14">
        <v>-0.6</v>
      </c>
      <c r="T14">
        <v>1.9</v>
      </c>
      <c r="U14">
        <v>118.08</v>
      </c>
      <c r="V14">
        <v>180</v>
      </c>
      <c r="W14">
        <v>-960</v>
      </c>
      <c r="X14" s="1">
        <v>4840</v>
      </c>
    </row>
    <row r="15" spans="1:25">
      <c r="A15" t="str">
        <f t="shared" si="0"/>
        <v>CE19300</v>
      </c>
      <c r="B15" t="str">
        <f t="shared" si="1"/>
        <v>PE19300</v>
      </c>
      <c r="D15" t="s">
        <v>14</v>
      </c>
      <c r="E15" t="s">
        <v>14</v>
      </c>
      <c r="F15" t="s">
        <v>14</v>
      </c>
      <c r="G15" t="s">
        <v>14</v>
      </c>
      <c r="H15" s="81" t="s">
        <v>14</v>
      </c>
      <c r="I15" t="s">
        <v>14</v>
      </c>
      <c r="J15" s="1">
        <v>40</v>
      </c>
      <c r="K15" s="81">
        <v>3163.9</v>
      </c>
      <c r="L15" s="81">
        <v>3338.95</v>
      </c>
      <c r="M15">
        <v>40</v>
      </c>
      <c r="N15">
        <v>19300</v>
      </c>
      <c r="O15" s="1" t="s">
        <v>14</v>
      </c>
      <c r="P15" t="s">
        <v>14</v>
      </c>
      <c r="Q15">
        <v>2.8</v>
      </c>
      <c r="R15" s="1">
        <v>800</v>
      </c>
      <c r="S15" t="s">
        <v>14</v>
      </c>
      <c r="T15" t="s">
        <v>14</v>
      </c>
      <c r="U15" t="s">
        <v>14</v>
      </c>
      <c r="V15" s="1" t="s">
        <v>14</v>
      </c>
      <c r="W15" s="1" t="s">
        <v>14</v>
      </c>
      <c r="X15" s="1" t="s">
        <v>14</v>
      </c>
    </row>
    <row r="16" spans="1:25">
      <c r="A16" t="str">
        <f t="shared" si="0"/>
        <v>CE19400</v>
      </c>
      <c r="B16" t="str">
        <f t="shared" si="1"/>
        <v>PE19400</v>
      </c>
      <c r="D16" s="1">
        <v>2280</v>
      </c>
      <c r="E16" t="s">
        <v>14</v>
      </c>
      <c r="F16" t="s">
        <v>14</v>
      </c>
      <c r="G16" t="s">
        <v>14</v>
      </c>
      <c r="H16" s="81">
        <v>2923.3</v>
      </c>
      <c r="I16" t="s">
        <v>14</v>
      </c>
      <c r="J16">
        <v>40</v>
      </c>
      <c r="K16" s="81">
        <v>2902.85</v>
      </c>
      <c r="L16" s="81">
        <v>3138.9</v>
      </c>
      <c r="M16">
        <v>40</v>
      </c>
      <c r="N16">
        <v>19400</v>
      </c>
      <c r="O16" s="1" t="s">
        <v>14</v>
      </c>
      <c r="P16" t="s">
        <v>14</v>
      </c>
      <c r="Q16">
        <v>1.75</v>
      </c>
      <c r="R16" s="1">
        <v>1240</v>
      </c>
      <c r="S16" t="s">
        <v>14</v>
      </c>
      <c r="T16">
        <v>2.1</v>
      </c>
      <c r="U16" t="s">
        <v>14</v>
      </c>
      <c r="V16" s="1" t="s">
        <v>14</v>
      </c>
      <c r="W16" s="1" t="s">
        <v>14</v>
      </c>
      <c r="X16" s="1">
        <v>2240</v>
      </c>
    </row>
    <row r="17" spans="1:24">
      <c r="A17" t="str">
        <f t="shared" si="0"/>
        <v>CE19500</v>
      </c>
      <c r="B17" t="str">
        <f t="shared" si="1"/>
        <v>PE19500</v>
      </c>
      <c r="D17" s="1">
        <v>11040</v>
      </c>
      <c r="E17" s="1">
        <v>-4120</v>
      </c>
      <c r="F17">
        <v>113</v>
      </c>
      <c r="G17" t="s">
        <v>14</v>
      </c>
      <c r="H17" s="81">
        <v>3000</v>
      </c>
      <c r="I17">
        <v>-13.5</v>
      </c>
      <c r="J17" s="1">
        <v>40</v>
      </c>
      <c r="K17" s="81">
        <v>3010.45</v>
      </c>
      <c r="L17" s="81">
        <v>3039.15</v>
      </c>
      <c r="M17">
        <v>120</v>
      </c>
      <c r="N17">
        <v>19500</v>
      </c>
      <c r="O17" s="1">
        <v>120</v>
      </c>
      <c r="P17">
        <v>0.45</v>
      </c>
      <c r="Q17">
        <v>0.95</v>
      </c>
      <c r="R17">
        <v>520</v>
      </c>
      <c r="S17">
        <v>0.4</v>
      </c>
      <c r="T17">
        <v>1</v>
      </c>
      <c r="U17">
        <v>100.79</v>
      </c>
      <c r="V17" s="1">
        <v>117</v>
      </c>
      <c r="W17" s="1">
        <v>-2560</v>
      </c>
      <c r="X17" s="1">
        <v>15800</v>
      </c>
    </row>
    <row r="18" spans="1:24">
      <c r="A18" t="str">
        <f t="shared" si="0"/>
        <v>CE19600</v>
      </c>
      <c r="B18" t="str">
        <f t="shared" si="1"/>
        <v>PE19600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s="1">
        <v>40</v>
      </c>
      <c r="K18" s="81">
        <v>2760.9</v>
      </c>
      <c r="L18" s="81">
        <v>3026.55</v>
      </c>
      <c r="M18">
        <v>40</v>
      </c>
      <c r="N18">
        <v>19600</v>
      </c>
      <c r="O18" s="1" t="s">
        <v>14</v>
      </c>
      <c r="P18" t="s">
        <v>14</v>
      </c>
      <c r="Q18">
        <v>2.7</v>
      </c>
      <c r="R18" s="1">
        <v>800</v>
      </c>
      <c r="S18" t="s">
        <v>14</v>
      </c>
      <c r="T18" t="s">
        <v>14</v>
      </c>
      <c r="U18" t="s">
        <v>14</v>
      </c>
      <c r="V18" s="1" t="s">
        <v>14</v>
      </c>
      <c r="W18" s="1" t="s">
        <v>14</v>
      </c>
      <c r="X18" s="1" t="s">
        <v>14</v>
      </c>
    </row>
    <row r="19" spans="1:24">
      <c r="A19" t="str">
        <f t="shared" si="0"/>
        <v>CE19700</v>
      </c>
      <c r="B19" t="str">
        <f t="shared" si="1"/>
        <v>PE19700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s="1">
        <v>40</v>
      </c>
      <c r="K19" s="81">
        <v>2669.3</v>
      </c>
      <c r="L19" s="81">
        <v>2962</v>
      </c>
      <c r="M19">
        <v>40</v>
      </c>
      <c r="N19">
        <v>19700</v>
      </c>
      <c r="O19" s="1" t="s">
        <v>14</v>
      </c>
      <c r="P19" t="s">
        <v>14</v>
      </c>
      <c r="Q19">
        <v>2.7</v>
      </c>
      <c r="R19" s="1">
        <v>800</v>
      </c>
      <c r="S19" t="s">
        <v>14</v>
      </c>
      <c r="T19" t="s">
        <v>14</v>
      </c>
      <c r="U19" t="s">
        <v>14</v>
      </c>
      <c r="V19" s="1" t="s">
        <v>14</v>
      </c>
      <c r="W19" s="1" t="s">
        <v>14</v>
      </c>
      <c r="X19" s="1" t="s">
        <v>14</v>
      </c>
    </row>
    <row r="20" spans="1:24">
      <c r="A20" t="str">
        <f t="shared" si="0"/>
        <v>CE19800</v>
      </c>
      <c r="B20" t="str">
        <f t="shared" si="1"/>
        <v>PE19800</v>
      </c>
      <c r="D20">
        <v>40</v>
      </c>
      <c r="E20" t="s">
        <v>14</v>
      </c>
      <c r="F20" t="s">
        <v>14</v>
      </c>
      <c r="G20" t="s">
        <v>14</v>
      </c>
      <c r="H20" s="81">
        <v>2410</v>
      </c>
      <c r="I20" t="s">
        <v>14</v>
      </c>
      <c r="J20" s="1">
        <v>40</v>
      </c>
      <c r="K20" s="81">
        <v>2501.9</v>
      </c>
      <c r="L20" s="81">
        <v>2850.2</v>
      </c>
      <c r="M20">
        <v>40</v>
      </c>
      <c r="N20">
        <v>19800</v>
      </c>
      <c r="O20" s="1" t="s">
        <v>14</v>
      </c>
      <c r="P20" t="s">
        <v>14</v>
      </c>
      <c r="Q20">
        <v>2.8</v>
      </c>
      <c r="R20" s="1">
        <v>800</v>
      </c>
      <c r="S20" t="s">
        <v>14</v>
      </c>
      <c r="T20">
        <v>3</v>
      </c>
      <c r="U20" t="s">
        <v>14</v>
      </c>
      <c r="V20" s="1" t="s">
        <v>14</v>
      </c>
      <c r="W20" s="1" t="s">
        <v>14</v>
      </c>
      <c r="X20" s="1">
        <v>40</v>
      </c>
    </row>
    <row r="21" spans="1:24">
      <c r="A21" t="str">
        <f t="shared" si="0"/>
        <v>CE19900</v>
      </c>
      <c r="B21" t="str">
        <f t="shared" si="1"/>
        <v>PE19900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s="81" t="s">
        <v>14</v>
      </c>
      <c r="J21">
        <v>40</v>
      </c>
      <c r="K21" s="81">
        <v>2546.25</v>
      </c>
      <c r="L21" s="81">
        <v>2781.95</v>
      </c>
      <c r="M21">
        <v>40</v>
      </c>
      <c r="N21">
        <v>19900</v>
      </c>
      <c r="O21" s="1" t="s">
        <v>14</v>
      </c>
      <c r="P21" t="s">
        <v>14</v>
      </c>
      <c r="Q21">
        <v>2.7</v>
      </c>
      <c r="R21" s="1">
        <v>800</v>
      </c>
      <c r="S21" t="s">
        <v>14</v>
      </c>
      <c r="T21" t="s">
        <v>14</v>
      </c>
      <c r="U21" t="s">
        <v>14</v>
      </c>
      <c r="V21" s="1" t="s">
        <v>14</v>
      </c>
      <c r="W21" s="1" t="s">
        <v>14</v>
      </c>
      <c r="X21" s="1" t="s">
        <v>14</v>
      </c>
    </row>
    <row r="22" spans="1:24">
      <c r="A22" t="str">
        <f t="shared" si="0"/>
        <v>CE20000</v>
      </c>
      <c r="B22" t="str">
        <f t="shared" si="1"/>
        <v>PE20000</v>
      </c>
      <c r="D22" s="1">
        <v>18960</v>
      </c>
      <c r="E22" s="1">
        <v>-6400</v>
      </c>
      <c r="F22">
        <v>188</v>
      </c>
      <c r="G22" t="s">
        <v>14</v>
      </c>
      <c r="H22" s="81">
        <v>2525</v>
      </c>
      <c r="I22">
        <v>-2.7</v>
      </c>
      <c r="J22" s="1">
        <v>40</v>
      </c>
      <c r="K22" s="81">
        <v>2512.4</v>
      </c>
      <c r="L22" s="81">
        <v>2529.0500000000002</v>
      </c>
      <c r="M22">
        <v>120</v>
      </c>
      <c r="N22">
        <v>20000</v>
      </c>
      <c r="O22" s="1">
        <v>40</v>
      </c>
      <c r="P22">
        <v>0.5</v>
      </c>
      <c r="Q22">
        <v>0.9</v>
      </c>
      <c r="R22" s="1">
        <v>760</v>
      </c>
      <c r="S22">
        <v>-0.9</v>
      </c>
      <c r="T22">
        <v>0.9</v>
      </c>
      <c r="U22">
        <v>83.81</v>
      </c>
      <c r="V22" s="1">
        <v>436</v>
      </c>
      <c r="W22" s="1">
        <v>-2080</v>
      </c>
      <c r="X22" s="1">
        <v>49560</v>
      </c>
    </row>
    <row r="23" spans="1:24">
      <c r="A23" t="str">
        <f t="shared" si="0"/>
        <v>CE20100</v>
      </c>
      <c r="B23" t="str">
        <f t="shared" si="1"/>
        <v>PE20100</v>
      </c>
      <c r="D23" s="1" t="s">
        <v>14</v>
      </c>
      <c r="E23" s="1" t="s">
        <v>14</v>
      </c>
      <c r="F23" t="s">
        <v>14</v>
      </c>
      <c r="G23" t="s">
        <v>14</v>
      </c>
      <c r="H23" t="s">
        <v>14</v>
      </c>
      <c r="I23" s="81" t="s">
        <v>14</v>
      </c>
      <c r="J23" s="1">
        <v>200</v>
      </c>
      <c r="K23" s="81">
        <v>2286.1999999999998</v>
      </c>
      <c r="L23" s="81">
        <v>2604.8000000000002</v>
      </c>
      <c r="M23">
        <v>200</v>
      </c>
      <c r="N23">
        <v>20100</v>
      </c>
      <c r="O23" s="1">
        <v>600</v>
      </c>
      <c r="P23">
        <v>0.2</v>
      </c>
      <c r="Q23">
        <v>2.35</v>
      </c>
      <c r="R23">
        <v>800</v>
      </c>
      <c r="S23" t="s">
        <v>14</v>
      </c>
      <c r="T23" t="s">
        <v>14</v>
      </c>
      <c r="U23" t="s">
        <v>14</v>
      </c>
      <c r="V23" s="1" t="s">
        <v>14</v>
      </c>
      <c r="W23" s="1" t="s">
        <v>14</v>
      </c>
      <c r="X23" s="1" t="s">
        <v>14</v>
      </c>
    </row>
    <row r="24" spans="1:24">
      <c r="A24" t="str">
        <f t="shared" si="0"/>
        <v>CE20200</v>
      </c>
      <c r="B24" t="str">
        <f t="shared" si="1"/>
        <v>PE20200</v>
      </c>
      <c r="D24" s="1">
        <v>80</v>
      </c>
      <c r="E24" s="1">
        <v>-1000</v>
      </c>
      <c r="F24">
        <v>25</v>
      </c>
      <c r="G24" t="s">
        <v>14</v>
      </c>
      <c r="H24" s="81">
        <v>2325</v>
      </c>
      <c r="I24">
        <v>-280.5</v>
      </c>
      <c r="J24" s="1">
        <v>200</v>
      </c>
      <c r="K24" s="81">
        <v>2227.35</v>
      </c>
      <c r="L24" s="81">
        <v>2465.15</v>
      </c>
      <c r="M24">
        <v>200</v>
      </c>
      <c r="N24">
        <v>20200</v>
      </c>
      <c r="O24" s="1">
        <v>760</v>
      </c>
      <c r="P24">
        <v>0.2</v>
      </c>
      <c r="Q24">
        <v>1.1000000000000001</v>
      </c>
      <c r="R24" s="1">
        <v>2400</v>
      </c>
      <c r="S24">
        <v>1.05</v>
      </c>
      <c r="T24">
        <v>1.2</v>
      </c>
      <c r="U24">
        <v>79.819999999999993</v>
      </c>
      <c r="V24" s="1">
        <v>55</v>
      </c>
      <c r="W24" s="1">
        <v>-80</v>
      </c>
      <c r="X24" s="1">
        <v>1000</v>
      </c>
    </row>
    <row r="25" spans="1:24">
      <c r="A25" t="str">
        <f t="shared" si="0"/>
        <v>CE20300</v>
      </c>
      <c r="B25" t="str">
        <f t="shared" si="1"/>
        <v>PE20300</v>
      </c>
      <c r="D25" s="1">
        <v>280</v>
      </c>
      <c r="E25" s="1">
        <v>-40</v>
      </c>
      <c r="F25" s="1">
        <v>1</v>
      </c>
      <c r="G25">
        <v>142.66999999999999</v>
      </c>
      <c r="H25" s="81">
        <v>2300</v>
      </c>
      <c r="I25">
        <v>80</v>
      </c>
      <c r="J25">
        <v>200</v>
      </c>
      <c r="K25" s="81">
        <v>2085.6999999999998</v>
      </c>
      <c r="L25" s="81">
        <v>2369.5</v>
      </c>
      <c r="M25">
        <v>200</v>
      </c>
      <c r="N25">
        <v>20300</v>
      </c>
      <c r="O25">
        <v>120</v>
      </c>
      <c r="P25">
        <v>0.2</v>
      </c>
      <c r="Q25">
        <v>1.75</v>
      </c>
      <c r="R25" s="1">
        <v>2280</v>
      </c>
      <c r="S25">
        <v>-1.1000000000000001</v>
      </c>
      <c r="T25">
        <v>1.75</v>
      </c>
      <c r="U25">
        <v>79.84</v>
      </c>
      <c r="V25" s="1">
        <v>4</v>
      </c>
      <c r="W25" s="1" t="s">
        <v>14</v>
      </c>
      <c r="X25" s="1">
        <v>560</v>
      </c>
    </row>
    <row r="26" spans="1:24">
      <c r="A26" t="str">
        <f t="shared" si="0"/>
        <v>CE20400</v>
      </c>
      <c r="B26" t="str">
        <f t="shared" si="1"/>
        <v>PE20400</v>
      </c>
      <c r="D26" s="1" t="s">
        <v>14</v>
      </c>
      <c r="E26" s="1" t="s">
        <v>14</v>
      </c>
      <c r="F26" s="1" t="s">
        <v>14</v>
      </c>
      <c r="G26" t="s">
        <v>14</v>
      </c>
      <c r="H26" t="s">
        <v>14</v>
      </c>
      <c r="I26" t="s">
        <v>14</v>
      </c>
      <c r="J26" s="1">
        <v>200</v>
      </c>
      <c r="K26" s="81">
        <v>1996.45</v>
      </c>
      <c r="L26" s="81">
        <v>2193.6999999999998</v>
      </c>
      <c r="M26">
        <v>200</v>
      </c>
      <c r="N26">
        <v>20400</v>
      </c>
      <c r="O26" s="1">
        <v>200</v>
      </c>
      <c r="P26">
        <v>0.2</v>
      </c>
      <c r="Q26">
        <v>2.8</v>
      </c>
      <c r="R26" s="1">
        <v>800</v>
      </c>
      <c r="S26" t="s">
        <v>14</v>
      </c>
      <c r="T26" t="s">
        <v>14</v>
      </c>
      <c r="U26" t="s">
        <v>14</v>
      </c>
      <c r="V26" s="1" t="s">
        <v>14</v>
      </c>
      <c r="W26" s="1" t="s">
        <v>14</v>
      </c>
      <c r="X26" s="1" t="s">
        <v>14</v>
      </c>
    </row>
    <row r="27" spans="1:24">
      <c r="A27" t="str">
        <f t="shared" si="0"/>
        <v>CE20500</v>
      </c>
      <c r="B27" t="str">
        <f t="shared" si="1"/>
        <v>PE20500</v>
      </c>
      <c r="D27" s="1">
        <v>15920</v>
      </c>
      <c r="E27" s="1">
        <v>-4560</v>
      </c>
      <c r="F27" s="1">
        <v>123</v>
      </c>
      <c r="G27" t="s">
        <v>14</v>
      </c>
      <c r="H27" s="81">
        <v>2022.4</v>
      </c>
      <c r="I27">
        <v>-13.65</v>
      </c>
      <c r="J27">
        <v>80</v>
      </c>
      <c r="K27" s="81">
        <v>2022.3</v>
      </c>
      <c r="L27" s="81">
        <v>2029.6</v>
      </c>
      <c r="M27">
        <v>120</v>
      </c>
      <c r="N27">
        <v>20500</v>
      </c>
      <c r="O27" s="1">
        <v>800</v>
      </c>
      <c r="P27">
        <v>0.6</v>
      </c>
      <c r="Q27">
        <v>1.25</v>
      </c>
      <c r="R27" s="1">
        <v>1200</v>
      </c>
      <c r="S27">
        <v>-1.75</v>
      </c>
      <c r="T27">
        <v>0.65</v>
      </c>
      <c r="U27">
        <v>65.81</v>
      </c>
      <c r="V27" s="1">
        <v>1504</v>
      </c>
      <c r="W27" s="1">
        <v>-6880</v>
      </c>
      <c r="X27" s="1">
        <v>91480</v>
      </c>
    </row>
    <row r="28" spans="1:24">
      <c r="A28" t="str">
        <f t="shared" si="0"/>
        <v>CE20600</v>
      </c>
      <c r="B28" t="str">
        <f t="shared" si="1"/>
        <v>PE20600</v>
      </c>
      <c r="D28" s="1" t="s">
        <v>14</v>
      </c>
      <c r="E28" s="1">
        <v>-200</v>
      </c>
      <c r="F28" s="1">
        <v>5</v>
      </c>
      <c r="G28">
        <v>133.66</v>
      </c>
      <c r="H28" s="81">
        <v>2012.3</v>
      </c>
      <c r="I28">
        <v>-307.55</v>
      </c>
      <c r="J28" s="1">
        <v>40</v>
      </c>
      <c r="K28" s="81">
        <v>1867.1</v>
      </c>
      <c r="L28" s="81">
        <v>2094.4499999999998</v>
      </c>
      <c r="M28">
        <v>200</v>
      </c>
      <c r="N28">
        <v>20600</v>
      </c>
      <c r="O28" s="1">
        <v>40</v>
      </c>
      <c r="P28">
        <v>0.55000000000000004</v>
      </c>
      <c r="Q28">
        <v>1.95</v>
      </c>
      <c r="R28" s="1">
        <v>1200</v>
      </c>
      <c r="S28">
        <v>0.9</v>
      </c>
      <c r="T28">
        <v>1</v>
      </c>
      <c r="U28">
        <v>65.59</v>
      </c>
      <c r="V28" s="1">
        <v>14</v>
      </c>
      <c r="W28" s="1">
        <v>-80</v>
      </c>
      <c r="X28" s="1">
        <v>1160</v>
      </c>
    </row>
    <row r="29" spans="1:24">
      <c r="A29" t="str">
        <f t="shared" si="0"/>
        <v>CE20700</v>
      </c>
      <c r="B29" t="str">
        <f t="shared" si="1"/>
        <v>PE20700</v>
      </c>
      <c r="D29" s="1" t="s">
        <v>14</v>
      </c>
      <c r="E29" s="1" t="s">
        <v>14</v>
      </c>
      <c r="F29" s="1" t="s">
        <v>14</v>
      </c>
      <c r="G29" t="s">
        <v>14</v>
      </c>
      <c r="H29" t="s">
        <v>14</v>
      </c>
      <c r="I29" t="s">
        <v>14</v>
      </c>
      <c r="J29" s="1">
        <v>200</v>
      </c>
      <c r="K29" s="81">
        <v>1755.05</v>
      </c>
      <c r="L29" s="81">
        <v>1878.7</v>
      </c>
      <c r="M29">
        <v>200</v>
      </c>
      <c r="N29">
        <v>20700</v>
      </c>
      <c r="O29" s="1">
        <v>40</v>
      </c>
      <c r="P29">
        <v>0.5</v>
      </c>
      <c r="Q29">
        <v>2.95</v>
      </c>
      <c r="R29" s="1">
        <v>1200</v>
      </c>
      <c r="S29" t="s">
        <v>14</v>
      </c>
      <c r="T29" t="s">
        <v>14</v>
      </c>
      <c r="U29" t="s">
        <v>14</v>
      </c>
      <c r="V29" s="1" t="s">
        <v>14</v>
      </c>
      <c r="W29" s="1" t="s">
        <v>14</v>
      </c>
      <c r="X29" s="1" t="s">
        <v>14</v>
      </c>
    </row>
    <row r="30" spans="1:24">
      <c r="A30" t="str">
        <f t="shared" si="0"/>
        <v>CE20800</v>
      </c>
      <c r="B30" t="str">
        <f t="shared" si="1"/>
        <v>PE20800</v>
      </c>
      <c r="D30" s="1" t="s">
        <v>14</v>
      </c>
      <c r="E30" s="1" t="s">
        <v>14</v>
      </c>
      <c r="F30" s="1" t="s">
        <v>14</v>
      </c>
      <c r="G30" t="s">
        <v>14</v>
      </c>
      <c r="H30" t="s">
        <v>14</v>
      </c>
      <c r="I30" t="s">
        <v>14</v>
      </c>
      <c r="J30" s="1">
        <v>200</v>
      </c>
      <c r="K30" s="81">
        <v>1610.35</v>
      </c>
      <c r="L30" s="81">
        <v>1850.1</v>
      </c>
      <c r="M30" s="1">
        <v>200</v>
      </c>
      <c r="N30">
        <v>20800</v>
      </c>
      <c r="O30">
        <v>40</v>
      </c>
      <c r="P30">
        <v>0.8</v>
      </c>
      <c r="Q30">
        <v>1.7</v>
      </c>
      <c r="R30" s="1">
        <v>1200</v>
      </c>
      <c r="S30">
        <v>-0.75</v>
      </c>
      <c r="T30">
        <v>1</v>
      </c>
      <c r="U30">
        <v>59.24</v>
      </c>
      <c r="V30" s="1">
        <v>6</v>
      </c>
      <c r="W30" s="1">
        <v>-200</v>
      </c>
      <c r="X30" s="1">
        <v>11160</v>
      </c>
    </row>
    <row r="31" spans="1:24">
      <c r="A31" t="str">
        <f t="shared" si="0"/>
        <v>CE20900</v>
      </c>
      <c r="B31" t="str">
        <f t="shared" si="1"/>
        <v>PE20900</v>
      </c>
      <c r="D31" s="1" t="s">
        <v>14</v>
      </c>
      <c r="E31" s="1" t="s">
        <v>14</v>
      </c>
      <c r="F31" s="1" t="s">
        <v>14</v>
      </c>
      <c r="G31" t="s">
        <v>14</v>
      </c>
      <c r="H31" t="s">
        <v>14</v>
      </c>
      <c r="I31" t="s">
        <v>14</v>
      </c>
      <c r="J31" s="1">
        <v>40</v>
      </c>
      <c r="K31" s="81">
        <v>1514.7</v>
      </c>
      <c r="L31" s="81">
        <v>1682.05</v>
      </c>
      <c r="M31">
        <v>200</v>
      </c>
      <c r="N31">
        <v>20900</v>
      </c>
      <c r="O31" s="1">
        <v>1200</v>
      </c>
      <c r="P31">
        <v>0.1</v>
      </c>
      <c r="Q31">
        <v>2.9</v>
      </c>
      <c r="R31" s="1">
        <v>40</v>
      </c>
      <c r="S31">
        <v>-534.65</v>
      </c>
      <c r="T31">
        <v>0.55000000000000004</v>
      </c>
      <c r="U31">
        <v>52.69</v>
      </c>
      <c r="V31" s="1">
        <v>15</v>
      </c>
      <c r="W31" s="1">
        <v>240</v>
      </c>
      <c r="X31" s="1">
        <v>240</v>
      </c>
    </row>
    <row r="32" spans="1:24">
      <c r="A32" t="str">
        <f t="shared" si="0"/>
        <v>CE21000</v>
      </c>
      <c r="B32" t="str">
        <f t="shared" si="1"/>
        <v>PE21000</v>
      </c>
      <c r="D32" s="1">
        <v>21760</v>
      </c>
      <c r="E32" s="1">
        <v>-14640</v>
      </c>
      <c r="F32" s="1">
        <v>391</v>
      </c>
      <c r="G32" t="s">
        <v>14</v>
      </c>
      <c r="H32" s="81">
        <v>1533</v>
      </c>
      <c r="I32">
        <v>-12.55</v>
      </c>
      <c r="J32" s="1">
        <v>40</v>
      </c>
      <c r="K32" s="81">
        <v>1516.05</v>
      </c>
      <c r="L32" s="81">
        <v>1530.55</v>
      </c>
      <c r="M32">
        <v>80</v>
      </c>
      <c r="N32">
        <v>21000</v>
      </c>
      <c r="O32" s="1">
        <v>200</v>
      </c>
      <c r="P32">
        <v>0.95</v>
      </c>
      <c r="Q32">
        <v>1.1000000000000001</v>
      </c>
      <c r="R32" s="1">
        <v>1520</v>
      </c>
      <c r="S32">
        <v>-2.2000000000000002</v>
      </c>
      <c r="T32">
        <v>1.05</v>
      </c>
      <c r="U32">
        <v>53.18</v>
      </c>
      <c r="V32" s="1">
        <v>3605</v>
      </c>
      <c r="W32" s="1">
        <v>-12680</v>
      </c>
      <c r="X32" s="1">
        <v>362840</v>
      </c>
    </row>
    <row r="33" spans="1:24">
      <c r="A33" t="str">
        <f t="shared" si="0"/>
        <v>CE21100</v>
      </c>
      <c r="B33" t="str">
        <f t="shared" si="1"/>
        <v>PE21100</v>
      </c>
      <c r="D33" s="1">
        <v>160</v>
      </c>
      <c r="E33" s="1">
        <v>-80</v>
      </c>
      <c r="F33" s="1">
        <v>4</v>
      </c>
      <c r="G33">
        <v>118.88</v>
      </c>
      <c r="H33" s="81">
        <v>1542.2</v>
      </c>
      <c r="I33">
        <v>-53.3</v>
      </c>
      <c r="J33" s="1">
        <v>80</v>
      </c>
      <c r="K33" s="81">
        <v>1425.9</v>
      </c>
      <c r="L33" s="81">
        <v>1474.8</v>
      </c>
      <c r="M33" s="1">
        <v>40</v>
      </c>
      <c r="N33">
        <v>21100</v>
      </c>
      <c r="O33" s="1">
        <v>200</v>
      </c>
      <c r="P33">
        <v>1.3</v>
      </c>
      <c r="Q33">
        <v>1.7</v>
      </c>
      <c r="R33">
        <v>440</v>
      </c>
      <c r="S33">
        <v>-0.9</v>
      </c>
      <c r="T33">
        <v>1.5</v>
      </c>
      <c r="U33">
        <v>52.1</v>
      </c>
      <c r="V33" s="1">
        <v>271</v>
      </c>
      <c r="W33" s="1">
        <v>-3920</v>
      </c>
      <c r="X33" s="1">
        <v>12000</v>
      </c>
    </row>
    <row r="34" spans="1:24">
      <c r="A34" t="str">
        <f t="shared" si="0"/>
        <v>CE21200</v>
      </c>
      <c r="B34" t="str">
        <f t="shared" si="1"/>
        <v>PE21200</v>
      </c>
      <c r="D34" s="1">
        <v>40</v>
      </c>
      <c r="E34" s="1">
        <v>-40</v>
      </c>
      <c r="F34" s="1">
        <v>1</v>
      </c>
      <c r="G34" t="s">
        <v>14</v>
      </c>
      <c r="H34" s="81">
        <v>1301</v>
      </c>
      <c r="I34">
        <v>94.5</v>
      </c>
      <c r="J34" s="1">
        <v>200</v>
      </c>
      <c r="K34" s="81">
        <v>1219.95</v>
      </c>
      <c r="L34" s="81">
        <v>1430.95</v>
      </c>
      <c r="M34" s="1">
        <v>200</v>
      </c>
      <c r="N34">
        <v>21200</v>
      </c>
      <c r="O34" s="1">
        <v>40</v>
      </c>
      <c r="P34">
        <v>1.25</v>
      </c>
      <c r="Q34">
        <v>1.75</v>
      </c>
      <c r="R34" s="1">
        <v>1080</v>
      </c>
      <c r="S34">
        <v>-1.1499999999999999</v>
      </c>
      <c r="T34">
        <v>1.2</v>
      </c>
      <c r="U34">
        <v>47.52</v>
      </c>
      <c r="V34" s="1">
        <v>322</v>
      </c>
      <c r="W34" s="1">
        <v>3080</v>
      </c>
      <c r="X34" s="1">
        <v>26880</v>
      </c>
    </row>
    <row r="35" spans="1:24">
      <c r="A35" t="str">
        <f t="shared" si="0"/>
        <v>CE21300</v>
      </c>
      <c r="B35" t="str">
        <f t="shared" si="1"/>
        <v>PE21300</v>
      </c>
      <c r="D35" s="1">
        <v>320</v>
      </c>
      <c r="E35" s="1">
        <v>-160</v>
      </c>
      <c r="F35" s="1">
        <v>7</v>
      </c>
      <c r="G35" t="s">
        <v>14</v>
      </c>
      <c r="H35" s="81">
        <v>1200</v>
      </c>
      <c r="I35">
        <v>-344.2</v>
      </c>
      <c r="J35" s="1">
        <v>200</v>
      </c>
      <c r="K35" s="81">
        <v>1130.2</v>
      </c>
      <c r="L35" s="81">
        <v>1260.25</v>
      </c>
      <c r="M35" s="1">
        <v>120</v>
      </c>
      <c r="N35">
        <v>21300</v>
      </c>
      <c r="O35">
        <v>200</v>
      </c>
      <c r="P35">
        <v>1.5</v>
      </c>
      <c r="Q35">
        <v>1.55</v>
      </c>
      <c r="R35">
        <v>120</v>
      </c>
      <c r="S35">
        <v>-1.1000000000000001</v>
      </c>
      <c r="T35">
        <v>1.5</v>
      </c>
      <c r="U35">
        <v>45.48</v>
      </c>
      <c r="V35" s="1">
        <v>735</v>
      </c>
      <c r="W35" s="1">
        <v>-5960</v>
      </c>
      <c r="X35" s="1">
        <v>18680</v>
      </c>
    </row>
    <row r="36" spans="1:24">
      <c r="A36" t="str">
        <f t="shared" si="0"/>
        <v>CE21400</v>
      </c>
      <c r="B36" t="str">
        <f t="shared" si="1"/>
        <v>PE21400</v>
      </c>
      <c r="D36" s="1">
        <v>2040</v>
      </c>
      <c r="E36" s="1" t="s">
        <v>14</v>
      </c>
      <c r="F36" s="1">
        <v>9</v>
      </c>
      <c r="G36" t="s">
        <v>14</v>
      </c>
      <c r="H36" s="81">
        <v>1068.4000000000001</v>
      </c>
      <c r="I36">
        <v>-98.1</v>
      </c>
      <c r="J36" s="1">
        <v>200</v>
      </c>
      <c r="K36" s="81">
        <v>1083.95</v>
      </c>
      <c r="L36" s="81">
        <v>1126.75</v>
      </c>
      <c r="M36" s="1">
        <v>80</v>
      </c>
      <c r="N36">
        <v>21400</v>
      </c>
      <c r="O36" s="1">
        <v>40</v>
      </c>
      <c r="P36">
        <v>1.25</v>
      </c>
      <c r="Q36" s="81">
        <v>1.9</v>
      </c>
      <c r="R36">
        <v>160</v>
      </c>
      <c r="S36">
        <v>-1.95</v>
      </c>
      <c r="T36">
        <v>1.9</v>
      </c>
      <c r="U36">
        <v>43.45</v>
      </c>
      <c r="V36" s="1">
        <v>434</v>
      </c>
      <c r="W36" s="1">
        <v>-280</v>
      </c>
      <c r="X36" s="1">
        <v>25200</v>
      </c>
    </row>
    <row r="37" spans="1:24">
      <c r="A37" t="str">
        <f t="shared" si="0"/>
        <v>CE21500</v>
      </c>
      <c r="B37" t="str">
        <f t="shared" si="1"/>
        <v>PE21500</v>
      </c>
      <c r="D37" s="1">
        <v>27920</v>
      </c>
      <c r="E37" s="1">
        <v>-14600</v>
      </c>
      <c r="F37" s="1">
        <v>462</v>
      </c>
      <c r="G37" t="s">
        <v>14</v>
      </c>
      <c r="H37" s="81">
        <v>1032</v>
      </c>
      <c r="I37">
        <v>-35.4</v>
      </c>
      <c r="J37" s="1">
        <v>40</v>
      </c>
      <c r="K37" s="81">
        <v>1027.55</v>
      </c>
      <c r="L37" s="81">
        <v>1035.2</v>
      </c>
      <c r="M37" s="1">
        <v>360</v>
      </c>
      <c r="N37">
        <v>21500</v>
      </c>
      <c r="O37" s="1">
        <v>760</v>
      </c>
      <c r="P37">
        <v>1.55</v>
      </c>
      <c r="Q37" s="81">
        <v>1.95</v>
      </c>
      <c r="R37">
        <v>560</v>
      </c>
      <c r="S37">
        <v>-3.05</v>
      </c>
      <c r="T37">
        <v>1.95</v>
      </c>
      <c r="U37">
        <v>40.17</v>
      </c>
      <c r="V37" s="1">
        <v>8254</v>
      </c>
      <c r="W37" s="1">
        <v>-51560</v>
      </c>
      <c r="X37" s="1">
        <v>485280</v>
      </c>
    </row>
    <row r="38" spans="1:24">
      <c r="A38" t="str">
        <f t="shared" si="0"/>
        <v>CE21600</v>
      </c>
      <c r="B38" t="str">
        <f t="shared" si="1"/>
        <v>PE21600</v>
      </c>
      <c r="D38" s="1">
        <v>1920</v>
      </c>
      <c r="E38" s="1">
        <v>-280</v>
      </c>
      <c r="F38" s="1">
        <v>11</v>
      </c>
      <c r="G38" t="s">
        <v>14</v>
      </c>
      <c r="H38">
        <v>867.8</v>
      </c>
      <c r="I38">
        <v>-82.4</v>
      </c>
      <c r="J38" s="1">
        <v>200</v>
      </c>
      <c r="K38">
        <v>876.8</v>
      </c>
      <c r="L38" s="81">
        <v>927.95</v>
      </c>
      <c r="M38" s="1">
        <v>80</v>
      </c>
      <c r="N38">
        <v>21600</v>
      </c>
      <c r="O38">
        <v>200</v>
      </c>
      <c r="P38">
        <v>1.5</v>
      </c>
      <c r="Q38" s="81">
        <v>1.85</v>
      </c>
      <c r="R38">
        <v>760</v>
      </c>
      <c r="S38">
        <v>-4.0999999999999996</v>
      </c>
      <c r="T38">
        <v>1.6</v>
      </c>
      <c r="U38">
        <v>35.78</v>
      </c>
      <c r="V38" s="1">
        <v>3012</v>
      </c>
      <c r="W38" s="1">
        <v>2920</v>
      </c>
      <c r="X38" s="1">
        <v>71360</v>
      </c>
    </row>
    <row r="39" spans="1:24">
      <c r="A39" t="str">
        <f t="shared" si="0"/>
        <v>CE21700</v>
      </c>
      <c r="B39" t="str">
        <f t="shared" si="1"/>
        <v>PE21700</v>
      </c>
      <c r="D39" s="1">
        <v>2880</v>
      </c>
      <c r="E39" s="1">
        <v>-160</v>
      </c>
      <c r="F39" s="1">
        <v>12</v>
      </c>
      <c r="G39" t="s">
        <v>14</v>
      </c>
      <c r="H39">
        <v>760</v>
      </c>
      <c r="I39">
        <v>-89.85</v>
      </c>
      <c r="J39" s="1">
        <v>200</v>
      </c>
      <c r="K39">
        <v>800.3</v>
      </c>
      <c r="L39" s="81">
        <v>828.65</v>
      </c>
      <c r="M39" s="1">
        <v>80</v>
      </c>
      <c r="N39">
        <v>21700</v>
      </c>
      <c r="O39">
        <v>480</v>
      </c>
      <c r="P39">
        <v>2.0499999999999998</v>
      </c>
      <c r="Q39">
        <v>2.25</v>
      </c>
      <c r="R39">
        <v>40</v>
      </c>
      <c r="S39">
        <v>-4</v>
      </c>
      <c r="T39">
        <v>2.25</v>
      </c>
      <c r="U39">
        <v>33.94</v>
      </c>
      <c r="V39" s="1">
        <v>5685</v>
      </c>
      <c r="W39" s="1">
        <v>-1360</v>
      </c>
      <c r="X39" s="1">
        <v>65480</v>
      </c>
    </row>
    <row r="40" spans="1:24">
      <c r="A40" t="str">
        <f t="shared" si="0"/>
        <v>CE21800</v>
      </c>
      <c r="B40" t="str">
        <f t="shared" si="1"/>
        <v>PE21800</v>
      </c>
      <c r="D40" s="1">
        <v>7040</v>
      </c>
      <c r="E40" s="1">
        <v>-160</v>
      </c>
      <c r="F40" s="1">
        <v>8</v>
      </c>
      <c r="G40" t="s">
        <v>14</v>
      </c>
      <c r="H40">
        <v>735.3</v>
      </c>
      <c r="I40">
        <v>-105.7</v>
      </c>
      <c r="J40" s="1">
        <v>80</v>
      </c>
      <c r="K40">
        <v>734.2</v>
      </c>
      <c r="L40">
        <v>749.7</v>
      </c>
      <c r="M40" s="1">
        <v>40</v>
      </c>
      <c r="N40">
        <v>21800</v>
      </c>
      <c r="O40" s="1">
        <v>1400</v>
      </c>
      <c r="P40" s="81">
        <v>2.7</v>
      </c>
      <c r="Q40" s="81">
        <v>3.45</v>
      </c>
      <c r="R40" s="1">
        <v>1000</v>
      </c>
      <c r="S40">
        <v>-4.55</v>
      </c>
      <c r="T40" s="81">
        <v>3.7</v>
      </c>
      <c r="U40">
        <v>32.83</v>
      </c>
      <c r="V40" s="1">
        <v>16409</v>
      </c>
      <c r="W40" s="1">
        <v>-5600</v>
      </c>
      <c r="X40" s="1">
        <v>105040</v>
      </c>
    </row>
    <row r="41" spans="1:24">
      <c r="A41" t="str">
        <f t="shared" si="0"/>
        <v>CE21900</v>
      </c>
      <c r="B41" t="str">
        <f t="shared" si="1"/>
        <v>PE21900</v>
      </c>
      <c r="D41" s="1">
        <v>760</v>
      </c>
      <c r="E41" s="1">
        <v>-520</v>
      </c>
      <c r="F41" s="1">
        <v>14</v>
      </c>
      <c r="G41" t="s">
        <v>14</v>
      </c>
      <c r="H41">
        <v>635.54999999999995</v>
      </c>
      <c r="I41">
        <v>-157.25</v>
      </c>
      <c r="J41" s="1">
        <v>40</v>
      </c>
      <c r="K41">
        <v>603.4</v>
      </c>
      <c r="L41">
        <v>649</v>
      </c>
      <c r="M41" s="1">
        <v>40</v>
      </c>
      <c r="N41">
        <v>21900</v>
      </c>
      <c r="O41" s="1">
        <v>200</v>
      </c>
      <c r="P41" s="81">
        <v>4.05</v>
      </c>
      <c r="Q41">
        <v>4.95</v>
      </c>
      <c r="R41" s="1">
        <v>1000</v>
      </c>
      <c r="S41">
        <v>-7.2</v>
      </c>
      <c r="T41">
        <v>4.05</v>
      </c>
      <c r="U41">
        <v>29.47</v>
      </c>
      <c r="V41" s="1">
        <v>25085</v>
      </c>
      <c r="W41" s="1">
        <v>-21200</v>
      </c>
      <c r="X41" s="1">
        <v>187840</v>
      </c>
    </row>
    <row r="42" spans="1:24">
      <c r="A42" t="str">
        <f t="shared" si="0"/>
        <v>CE22000</v>
      </c>
      <c r="B42" t="str">
        <f t="shared" si="1"/>
        <v>PE22000</v>
      </c>
      <c r="D42" s="1">
        <v>99360</v>
      </c>
      <c r="E42" s="1">
        <v>-5200</v>
      </c>
      <c r="F42" s="1">
        <v>574</v>
      </c>
      <c r="G42" t="s">
        <v>14</v>
      </c>
      <c r="H42">
        <v>537</v>
      </c>
      <c r="I42">
        <v>-38.65</v>
      </c>
      <c r="J42" s="1">
        <v>120</v>
      </c>
      <c r="K42">
        <v>537</v>
      </c>
      <c r="L42">
        <v>539.20000000000005</v>
      </c>
      <c r="M42" s="1">
        <v>40</v>
      </c>
      <c r="N42">
        <v>22000</v>
      </c>
      <c r="O42" s="1">
        <v>1280</v>
      </c>
      <c r="P42" s="81">
        <v>5.7</v>
      </c>
      <c r="Q42">
        <v>6</v>
      </c>
      <c r="R42" s="1">
        <v>2000</v>
      </c>
      <c r="S42">
        <v>-9</v>
      </c>
      <c r="T42">
        <v>6</v>
      </c>
      <c r="U42">
        <v>27.53</v>
      </c>
      <c r="V42" s="1">
        <v>95030</v>
      </c>
      <c r="W42" s="1">
        <v>-5600</v>
      </c>
      <c r="X42" s="1">
        <v>1236480</v>
      </c>
    </row>
    <row r="43" spans="1:24">
      <c r="A43" t="str">
        <f t="shared" si="0"/>
        <v>CE22100</v>
      </c>
      <c r="B43" t="str">
        <f t="shared" si="1"/>
        <v>PE22100</v>
      </c>
      <c r="D43" s="1">
        <v>2560</v>
      </c>
      <c r="E43" s="1">
        <v>-320</v>
      </c>
      <c r="F43" s="1">
        <v>29</v>
      </c>
      <c r="G43" t="s">
        <v>14</v>
      </c>
      <c r="H43">
        <v>441</v>
      </c>
      <c r="I43">
        <v>-32.65</v>
      </c>
      <c r="J43">
        <v>40</v>
      </c>
      <c r="K43">
        <v>420.65</v>
      </c>
      <c r="L43">
        <v>448.95</v>
      </c>
      <c r="M43" s="1">
        <v>40</v>
      </c>
      <c r="N43">
        <v>22100</v>
      </c>
      <c r="O43" s="1">
        <v>80</v>
      </c>
      <c r="P43" s="81">
        <v>7</v>
      </c>
      <c r="Q43" s="81">
        <v>10.9</v>
      </c>
      <c r="R43">
        <v>160</v>
      </c>
      <c r="S43">
        <v>-12.4</v>
      </c>
      <c r="T43">
        <v>7.05</v>
      </c>
      <c r="U43">
        <v>24.14</v>
      </c>
      <c r="V43" s="1">
        <v>80935</v>
      </c>
      <c r="W43" s="1">
        <v>-159320</v>
      </c>
      <c r="X43" s="1">
        <v>281040</v>
      </c>
    </row>
    <row r="44" spans="1:24">
      <c r="A44" t="str">
        <f t="shared" si="0"/>
        <v>CE22200</v>
      </c>
      <c r="B44" t="str">
        <f t="shared" si="1"/>
        <v>PE22200</v>
      </c>
      <c r="D44" s="1">
        <v>5600</v>
      </c>
      <c r="E44" s="1">
        <v>-640</v>
      </c>
      <c r="F44" s="1">
        <v>118</v>
      </c>
      <c r="G44" t="s">
        <v>14</v>
      </c>
      <c r="H44">
        <v>329.2</v>
      </c>
      <c r="I44">
        <v>-42.25</v>
      </c>
      <c r="J44" s="1">
        <v>40</v>
      </c>
      <c r="K44">
        <v>319.25</v>
      </c>
      <c r="L44">
        <v>350.85</v>
      </c>
      <c r="M44" s="1">
        <v>40</v>
      </c>
      <c r="N44">
        <v>22200</v>
      </c>
      <c r="O44" s="1">
        <v>160</v>
      </c>
      <c r="P44" s="81">
        <v>8.65</v>
      </c>
      <c r="Q44">
        <v>10</v>
      </c>
      <c r="R44" s="1">
        <v>2240</v>
      </c>
      <c r="S44">
        <v>-19.100000000000001</v>
      </c>
      <c r="T44">
        <v>9</v>
      </c>
      <c r="U44">
        <v>20.91</v>
      </c>
      <c r="V44" s="1">
        <v>160577</v>
      </c>
      <c r="W44" s="1">
        <v>236280</v>
      </c>
      <c r="X44" s="1">
        <v>842360</v>
      </c>
    </row>
    <row r="45" spans="1:24">
      <c r="A45" t="str">
        <f t="shared" si="0"/>
        <v>CE22300</v>
      </c>
      <c r="B45" t="str">
        <f t="shared" si="1"/>
        <v>PE22300</v>
      </c>
      <c r="D45" s="1">
        <v>37120</v>
      </c>
      <c r="E45" s="1">
        <v>22720</v>
      </c>
      <c r="F45" s="1">
        <v>1671</v>
      </c>
      <c r="G45" t="s">
        <v>14</v>
      </c>
      <c r="H45">
        <v>230.1</v>
      </c>
      <c r="I45">
        <v>-59.6</v>
      </c>
      <c r="J45" s="1">
        <v>40</v>
      </c>
      <c r="K45">
        <v>225.3</v>
      </c>
      <c r="L45">
        <v>253.3</v>
      </c>
      <c r="M45" s="1">
        <v>40</v>
      </c>
      <c r="N45">
        <v>22300</v>
      </c>
      <c r="O45" s="1">
        <v>160</v>
      </c>
      <c r="P45" s="81">
        <v>13.8</v>
      </c>
      <c r="Q45">
        <v>14.4</v>
      </c>
      <c r="R45">
        <v>80</v>
      </c>
      <c r="S45">
        <v>-27.4</v>
      </c>
      <c r="T45" s="81">
        <v>13.8</v>
      </c>
      <c r="U45">
        <v>18.260000000000002</v>
      </c>
      <c r="V45" s="1">
        <v>198592</v>
      </c>
      <c r="W45" s="1">
        <v>134320</v>
      </c>
      <c r="X45" s="1">
        <v>428120</v>
      </c>
    </row>
    <row r="46" spans="1:24">
      <c r="A46" t="str">
        <f t="shared" si="0"/>
        <v>CE22400</v>
      </c>
      <c r="B46" t="str">
        <f t="shared" si="1"/>
        <v>PE22400</v>
      </c>
      <c r="D46" s="1">
        <v>69600</v>
      </c>
      <c r="E46" s="1">
        <v>43440</v>
      </c>
      <c r="F46" s="1">
        <v>10011</v>
      </c>
      <c r="G46">
        <v>13</v>
      </c>
      <c r="H46">
        <v>156.9</v>
      </c>
      <c r="I46">
        <v>-66.400000000000006</v>
      </c>
      <c r="J46" s="1">
        <v>40</v>
      </c>
      <c r="K46">
        <v>156</v>
      </c>
      <c r="L46">
        <v>163</v>
      </c>
      <c r="M46">
        <v>40</v>
      </c>
      <c r="N46">
        <v>22400</v>
      </c>
      <c r="O46" s="1">
        <v>160</v>
      </c>
      <c r="P46" s="81">
        <v>28.35</v>
      </c>
      <c r="Q46">
        <v>29</v>
      </c>
      <c r="R46" s="1">
        <v>160</v>
      </c>
      <c r="S46">
        <v>-30.35</v>
      </c>
      <c r="T46">
        <v>29</v>
      </c>
      <c r="U46">
        <v>17.28</v>
      </c>
      <c r="V46" s="1">
        <v>214419</v>
      </c>
      <c r="W46" s="1">
        <v>6760</v>
      </c>
      <c r="X46" s="1">
        <v>374960</v>
      </c>
    </row>
    <row r="47" spans="1:24">
      <c r="A47" t="str">
        <f t="shared" si="0"/>
        <v>CE22500</v>
      </c>
      <c r="B47" t="str">
        <f t="shared" si="1"/>
        <v>PE22500</v>
      </c>
      <c r="D47" s="1">
        <v>644120</v>
      </c>
      <c r="E47" s="1">
        <v>339840</v>
      </c>
      <c r="F47" s="1">
        <v>99310</v>
      </c>
      <c r="G47">
        <v>14.7</v>
      </c>
      <c r="H47">
        <v>92.4</v>
      </c>
      <c r="I47">
        <v>-63.4</v>
      </c>
      <c r="J47">
        <v>40</v>
      </c>
      <c r="K47">
        <v>91.1</v>
      </c>
      <c r="L47">
        <v>92.4</v>
      </c>
      <c r="M47" s="1">
        <v>520</v>
      </c>
      <c r="N47">
        <v>22500</v>
      </c>
      <c r="O47">
        <v>40</v>
      </c>
      <c r="P47" s="81">
        <v>57</v>
      </c>
      <c r="Q47">
        <v>59.9</v>
      </c>
      <c r="R47" s="1">
        <v>760</v>
      </c>
      <c r="S47">
        <v>-32</v>
      </c>
      <c r="T47">
        <v>57.05</v>
      </c>
      <c r="U47">
        <v>16.25</v>
      </c>
      <c r="V47" s="1">
        <v>267640</v>
      </c>
      <c r="W47" s="1">
        <v>1960</v>
      </c>
      <c r="X47" s="1">
        <v>967840</v>
      </c>
    </row>
    <row r="48" spans="1:24">
      <c r="A48" t="str">
        <f t="shared" si="0"/>
        <v>CE22600</v>
      </c>
      <c r="B48" t="str">
        <f t="shared" si="1"/>
        <v>PE22600</v>
      </c>
      <c r="D48" s="1">
        <v>494320</v>
      </c>
      <c r="E48" s="1">
        <v>24280</v>
      </c>
      <c r="F48" s="1">
        <v>232727</v>
      </c>
      <c r="G48">
        <v>15.02</v>
      </c>
      <c r="H48">
        <v>45.7</v>
      </c>
      <c r="I48">
        <v>-54.05</v>
      </c>
      <c r="J48" s="1">
        <v>80</v>
      </c>
      <c r="K48">
        <v>45.6</v>
      </c>
      <c r="L48">
        <v>45.8</v>
      </c>
      <c r="M48" s="1">
        <v>80</v>
      </c>
      <c r="N48">
        <v>22600</v>
      </c>
      <c r="O48">
        <v>120</v>
      </c>
      <c r="P48" s="81">
        <v>100.05</v>
      </c>
      <c r="Q48">
        <v>101.75</v>
      </c>
      <c r="R48">
        <v>40</v>
      </c>
      <c r="S48">
        <v>-24.25</v>
      </c>
      <c r="T48">
        <v>104</v>
      </c>
      <c r="U48">
        <v>15.2</v>
      </c>
      <c r="V48" s="1">
        <v>166186</v>
      </c>
      <c r="W48" s="1">
        <v>-82720</v>
      </c>
      <c r="X48" s="1">
        <v>268000</v>
      </c>
    </row>
    <row r="49" spans="1:24">
      <c r="A49" t="str">
        <f t="shared" si="0"/>
        <v>CE22700</v>
      </c>
      <c r="B49" t="str">
        <f t="shared" si="1"/>
        <v>PE22700</v>
      </c>
      <c r="D49" s="1">
        <v>621480</v>
      </c>
      <c r="E49" s="1">
        <v>164360</v>
      </c>
      <c r="F49" s="1">
        <v>271478</v>
      </c>
      <c r="G49">
        <v>14.76</v>
      </c>
      <c r="H49">
        <v>17.5</v>
      </c>
      <c r="I49">
        <v>-44.9</v>
      </c>
      <c r="J49" s="1">
        <v>80</v>
      </c>
      <c r="K49">
        <v>17.350000000000001</v>
      </c>
      <c r="L49">
        <v>17.7</v>
      </c>
      <c r="M49" s="1">
        <v>120</v>
      </c>
      <c r="N49">
        <v>22700</v>
      </c>
      <c r="O49">
        <v>400</v>
      </c>
      <c r="P49" s="81">
        <v>161.94999999999999</v>
      </c>
      <c r="Q49">
        <v>168.5</v>
      </c>
      <c r="R49">
        <v>40</v>
      </c>
      <c r="S49">
        <v>-15.8</v>
      </c>
      <c r="T49">
        <v>166</v>
      </c>
      <c r="U49">
        <v>11.57</v>
      </c>
      <c r="V49" s="1">
        <v>46869</v>
      </c>
      <c r="W49" s="1">
        <v>-61960</v>
      </c>
      <c r="X49" s="1">
        <v>170720</v>
      </c>
    </row>
    <row r="50" spans="1:24">
      <c r="A50" t="str">
        <f t="shared" si="0"/>
        <v>CE22800</v>
      </c>
      <c r="B50" t="str">
        <f t="shared" si="1"/>
        <v>PE22800</v>
      </c>
      <c r="D50" s="1">
        <v>762600</v>
      </c>
      <c r="E50" s="1">
        <v>144200</v>
      </c>
      <c r="F50" s="1">
        <v>212067</v>
      </c>
      <c r="G50">
        <v>15.28</v>
      </c>
      <c r="H50">
        <v>6.35</v>
      </c>
      <c r="I50">
        <v>-29.95</v>
      </c>
      <c r="J50" s="1">
        <v>1760</v>
      </c>
      <c r="K50">
        <v>6.1</v>
      </c>
      <c r="L50">
        <v>6.35</v>
      </c>
      <c r="M50" s="1">
        <v>920</v>
      </c>
      <c r="N50">
        <v>22800</v>
      </c>
      <c r="O50">
        <v>160</v>
      </c>
      <c r="P50" s="81">
        <v>252</v>
      </c>
      <c r="Q50">
        <v>256.14999999999998</v>
      </c>
      <c r="R50">
        <v>40</v>
      </c>
      <c r="S50">
        <v>-0.55000000000000004</v>
      </c>
      <c r="T50">
        <v>252</v>
      </c>
      <c r="U50" t="s">
        <v>14</v>
      </c>
      <c r="V50" s="1">
        <v>8470</v>
      </c>
      <c r="W50" s="1">
        <v>-47440</v>
      </c>
      <c r="X50" s="1">
        <v>103040</v>
      </c>
    </row>
    <row r="51" spans="1:24">
      <c r="A51" t="str">
        <f t="shared" si="0"/>
        <v>CE22900</v>
      </c>
      <c r="B51" t="str">
        <f t="shared" si="1"/>
        <v>PE22900</v>
      </c>
      <c r="D51" s="1">
        <v>583080</v>
      </c>
      <c r="E51" s="1">
        <v>-185040</v>
      </c>
      <c r="F51" s="1">
        <v>145319</v>
      </c>
      <c r="G51">
        <v>17.32</v>
      </c>
      <c r="H51">
        <v>3.45</v>
      </c>
      <c r="I51">
        <v>-15.85</v>
      </c>
      <c r="J51" s="1">
        <v>40</v>
      </c>
      <c r="K51">
        <v>3.15</v>
      </c>
      <c r="L51">
        <v>3.3</v>
      </c>
      <c r="M51" s="1">
        <v>1000</v>
      </c>
      <c r="N51">
        <v>22900</v>
      </c>
      <c r="O51" s="1">
        <v>40</v>
      </c>
      <c r="P51" s="81">
        <v>324.39999999999998</v>
      </c>
      <c r="Q51">
        <v>345.4</v>
      </c>
      <c r="R51">
        <v>80</v>
      </c>
      <c r="S51">
        <v>8.4</v>
      </c>
      <c r="T51">
        <v>344.1</v>
      </c>
      <c r="U51" t="s">
        <v>14</v>
      </c>
      <c r="V51" s="1">
        <v>1987</v>
      </c>
      <c r="W51" s="1">
        <v>-15720</v>
      </c>
      <c r="X51" s="1">
        <v>72880</v>
      </c>
    </row>
    <row r="52" spans="1:24">
      <c r="A52" t="str">
        <f t="shared" si="0"/>
        <v>CE23000</v>
      </c>
      <c r="B52" t="str">
        <f t="shared" si="1"/>
        <v>PE23000</v>
      </c>
      <c r="D52" s="1">
        <v>1081880</v>
      </c>
      <c r="E52" s="1">
        <v>-143720</v>
      </c>
      <c r="F52" s="1">
        <v>130317</v>
      </c>
      <c r="G52">
        <v>19.36</v>
      </c>
      <c r="H52">
        <v>2.0499999999999998</v>
      </c>
      <c r="I52">
        <v>-8.9499999999999993</v>
      </c>
      <c r="J52" s="1">
        <v>480</v>
      </c>
      <c r="K52">
        <v>2.0499999999999998</v>
      </c>
      <c r="L52">
        <v>2.15</v>
      </c>
      <c r="M52" s="1">
        <v>80</v>
      </c>
      <c r="N52">
        <v>23000</v>
      </c>
      <c r="O52">
        <v>80</v>
      </c>
      <c r="P52" s="81">
        <v>434.65</v>
      </c>
      <c r="Q52">
        <v>438</v>
      </c>
      <c r="R52">
        <v>80</v>
      </c>
      <c r="S52">
        <v>19.649999999999999</v>
      </c>
      <c r="T52">
        <v>438</v>
      </c>
      <c r="U52" t="s">
        <v>14</v>
      </c>
      <c r="V52" s="1">
        <v>3793</v>
      </c>
      <c r="W52" s="1">
        <v>-38200</v>
      </c>
      <c r="X52" s="1">
        <v>106880</v>
      </c>
    </row>
    <row r="53" spans="1:24">
      <c r="A53" t="str">
        <f t="shared" si="0"/>
        <v>CE23100</v>
      </c>
      <c r="B53" t="str">
        <f t="shared" si="1"/>
        <v>PE23100</v>
      </c>
      <c r="D53" s="1">
        <v>274520</v>
      </c>
      <c r="E53" s="1">
        <v>-140040</v>
      </c>
      <c r="F53" s="1">
        <v>41873</v>
      </c>
      <c r="G53">
        <v>22</v>
      </c>
      <c r="H53">
        <v>1.6</v>
      </c>
      <c r="I53">
        <v>-4.5</v>
      </c>
      <c r="J53" s="1">
        <v>1640</v>
      </c>
      <c r="K53">
        <v>1.35</v>
      </c>
      <c r="L53">
        <v>1.55</v>
      </c>
      <c r="M53" s="1">
        <v>320</v>
      </c>
      <c r="N53">
        <v>23100</v>
      </c>
      <c r="O53">
        <v>80</v>
      </c>
      <c r="P53" s="81">
        <v>522.65</v>
      </c>
      <c r="Q53">
        <v>570.5</v>
      </c>
      <c r="R53">
        <v>80</v>
      </c>
      <c r="S53">
        <v>31.6</v>
      </c>
      <c r="T53">
        <v>558.45000000000005</v>
      </c>
      <c r="U53">
        <v>20.82</v>
      </c>
      <c r="V53">
        <v>235</v>
      </c>
      <c r="W53" s="1">
        <v>-1800</v>
      </c>
      <c r="X53" s="1">
        <v>4360</v>
      </c>
    </row>
    <row r="54" spans="1:24">
      <c r="A54" t="str">
        <f t="shared" si="0"/>
        <v>CE23200</v>
      </c>
      <c r="B54" t="str">
        <f t="shared" si="1"/>
        <v>PE23200</v>
      </c>
      <c r="D54" s="1">
        <v>311360</v>
      </c>
      <c r="E54" s="1">
        <v>-83320</v>
      </c>
      <c r="F54" s="1">
        <v>17590</v>
      </c>
      <c r="G54">
        <v>23.74</v>
      </c>
      <c r="H54">
        <v>1</v>
      </c>
      <c r="I54">
        <v>-2.7</v>
      </c>
      <c r="J54" s="1">
        <v>400</v>
      </c>
      <c r="K54">
        <v>1</v>
      </c>
      <c r="L54">
        <v>1.1000000000000001</v>
      </c>
      <c r="M54" s="1">
        <v>40</v>
      </c>
      <c r="N54">
        <v>23200</v>
      </c>
      <c r="O54">
        <v>200</v>
      </c>
      <c r="P54" s="81">
        <v>555.45000000000005</v>
      </c>
      <c r="Q54">
        <v>677.95</v>
      </c>
      <c r="R54">
        <v>40</v>
      </c>
      <c r="S54">
        <v>33.65</v>
      </c>
      <c r="T54">
        <v>657.4</v>
      </c>
      <c r="U54">
        <v>17.68</v>
      </c>
      <c r="V54">
        <v>12</v>
      </c>
      <c r="W54">
        <v>-80</v>
      </c>
      <c r="X54" s="1">
        <v>1800</v>
      </c>
    </row>
    <row r="55" spans="1:24">
      <c r="A55" t="str">
        <f t="shared" si="0"/>
        <v>CE23300</v>
      </c>
      <c r="B55" t="str">
        <f t="shared" si="1"/>
        <v>PE23300</v>
      </c>
      <c r="D55" s="1">
        <v>170920</v>
      </c>
      <c r="E55" s="1">
        <v>-73200</v>
      </c>
      <c r="F55" s="1">
        <v>6282</v>
      </c>
      <c r="G55">
        <v>25.22</v>
      </c>
      <c r="H55">
        <v>0.6</v>
      </c>
      <c r="I55">
        <v>-1.85</v>
      </c>
      <c r="J55" s="1">
        <v>2360</v>
      </c>
      <c r="K55">
        <v>0.6</v>
      </c>
      <c r="L55">
        <v>0.95</v>
      </c>
      <c r="M55" s="1">
        <v>960</v>
      </c>
      <c r="N55">
        <v>23300</v>
      </c>
      <c r="O55" s="1">
        <v>40</v>
      </c>
      <c r="P55">
        <v>691.5</v>
      </c>
      <c r="Q55">
        <v>818.85</v>
      </c>
      <c r="R55">
        <v>40</v>
      </c>
      <c r="S55">
        <v>79.05</v>
      </c>
      <c r="T55">
        <v>790</v>
      </c>
      <c r="U55">
        <v>51.43</v>
      </c>
      <c r="V55">
        <v>5</v>
      </c>
      <c r="W55">
        <v>-80</v>
      </c>
      <c r="X55">
        <v>200</v>
      </c>
    </row>
    <row r="56" spans="1:24">
      <c r="A56" t="str">
        <f t="shared" si="0"/>
        <v>CE23400</v>
      </c>
      <c r="B56" t="str">
        <f t="shared" si="1"/>
        <v>PE23400</v>
      </c>
      <c r="D56" s="1">
        <v>62760</v>
      </c>
      <c r="E56" s="1">
        <v>-18000</v>
      </c>
      <c r="F56" s="1">
        <v>2405</v>
      </c>
      <c r="G56">
        <v>28.59</v>
      </c>
      <c r="H56">
        <v>0.7</v>
      </c>
      <c r="I56">
        <v>-1.05</v>
      </c>
      <c r="J56" s="1">
        <v>440</v>
      </c>
      <c r="K56">
        <v>0.7</v>
      </c>
      <c r="L56">
        <v>0.9</v>
      </c>
      <c r="M56" s="1">
        <v>1000</v>
      </c>
      <c r="N56">
        <v>23400</v>
      </c>
      <c r="O56">
        <v>200</v>
      </c>
      <c r="P56" s="81">
        <v>802.85</v>
      </c>
      <c r="Q56">
        <v>919.2</v>
      </c>
      <c r="R56">
        <v>240</v>
      </c>
      <c r="S56">
        <v>143.9</v>
      </c>
      <c r="T56">
        <v>861</v>
      </c>
      <c r="U56">
        <v>35.770000000000003</v>
      </c>
      <c r="V56">
        <v>61</v>
      </c>
      <c r="W56">
        <v>40</v>
      </c>
      <c r="X56">
        <v>40</v>
      </c>
    </row>
    <row r="57" spans="1:24">
      <c r="A57" t="str">
        <f t="shared" si="0"/>
        <v>CE23500</v>
      </c>
      <c r="B57" t="str">
        <f t="shared" si="1"/>
        <v>PE23500</v>
      </c>
      <c r="D57" s="1">
        <v>367800</v>
      </c>
      <c r="E57" s="1">
        <v>-63640</v>
      </c>
      <c r="F57" s="1">
        <v>2830</v>
      </c>
      <c r="G57">
        <v>30.32</v>
      </c>
      <c r="H57">
        <v>0.5</v>
      </c>
      <c r="I57">
        <v>-0.9</v>
      </c>
      <c r="J57" s="1">
        <v>10920</v>
      </c>
      <c r="K57">
        <v>0.5</v>
      </c>
      <c r="L57">
        <v>0.65</v>
      </c>
      <c r="M57" s="1">
        <v>400</v>
      </c>
      <c r="N57">
        <v>23500</v>
      </c>
      <c r="O57" s="1">
        <v>200</v>
      </c>
      <c r="P57" s="81">
        <v>927.1</v>
      </c>
      <c r="Q57">
        <v>945.25</v>
      </c>
      <c r="R57">
        <v>40</v>
      </c>
      <c r="S57">
        <v>-0.75</v>
      </c>
      <c r="T57">
        <v>923.8</v>
      </c>
      <c r="U57" t="s">
        <v>14</v>
      </c>
      <c r="V57">
        <v>500</v>
      </c>
      <c r="W57" s="1">
        <v>-17760</v>
      </c>
      <c r="X57" s="1">
        <v>39840</v>
      </c>
    </row>
    <row r="58" spans="1:24">
      <c r="A58" t="str">
        <f t="shared" si="0"/>
        <v>CE23600</v>
      </c>
      <c r="B58" t="str">
        <f t="shared" si="1"/>
        <v>PE23600</v>
      </c>
      <c r="D58" s="1">
        <v>37240</v>
      </c>
      <c r="E58" s="1">
        <v>-3080</v>
      </c>
      <c r="F58">
        <v>245</v>
      </c>
      <c r="G58">
        <v>34.29</v>
      </c>
      <c r="H58">
        <v>0.7</v>
      </c>
      <c r="I58">
        <v>-0.6</v>
      </c>
      <c r="J58" s="1">
        <v>200</v>
      </c>
      <c r="K58">
        <v>0.4</v>
      </c>
      <c r="L58">
        <v>0.8</v>
      </c>
      <c r="M58" s="1">
        <v>920</v>
      </c>
      <c r="N58">
        <v>23600</v>
      </c>
      <c r="O58" s="1">
        <v>120</v>
      </c>
      <c r="P58" s="81">
        <v>1012.6</v>
      </c>
      <c r="Q58" s="81">
        <v>1072.05</v>
      </c>
      <c r="R58">
        <v>40</v>
      </c>
      <c r="S58">
        <v>79.150000000000006</v>
      </c>
      <c r="T58" s="81">
        <v>1016.2</v>
      </c>
      <c r="U58" t="s">
        <v>14</v>
      </c>
      <c r="V58">
        <v>50</v>
      </c>
      <c r="W58">
        <v>400</v>
      </c>
      <c r="X58">
        <v>440</v>
      </c>
    </row>
    <row r="59" spans="1:24">
      <c r="A59" t="str">
        <f t="shared" si="0"/>
        <v>CE23700</v>
      </c>
      <c r="B59" t="str">
        <f t="shared" si="1"/>
        <v>PE23700</v>
      </c>
      <c r="D59" s="1">
        <v>17480</v>
      </c>
      <c r="E59" s="1">
        <v>-560</v>
      </c>
      <c r="F59">
        <v>53</v>
      </c>
      <c r="G59">
        <v>37.08</v>
      </c>
      <c r="H59">
        <v>0.7</v>
      </c>
      <c r="I59">
        <v>-0.3</v>
      </c>
      <c r="J59" s="1">
        <v>80</v>
      </c>
      <c r="K59">
        <v>0.5</v>
      </c>
      <c r="L59">
        <v>0.8</v>
      </c>
      <c r="M59" s="1">
        <v>800</v>
      </c>
      <c r="N59">
        <v>23700</v>
      </c>
      <c r="O59" s="1">
        <v>40</v>
      </c>
      <c r="P59" s="81">
        <v>1114.5</v>
      </c>
      <c r="Q59" s="81">
        <v>1241.3</v>
      </c>
      <c r="R59">
        <v>200</v>
      </c>
      <c r="S59" t="s">
        <v>14</v>
      </c>
      <c r="T59" s="81">
        <v>1036.0999999999999</v>
      </c>
      <c r="U59" t="s">
        <v>14</v>
      </c>
      <c r="V59" t="s">
        <v>14</v>
      </c>
      <c r="W59" t="s">
        <v>14</v>
      </c>
      <c r="X59">
        <v>40</v>
      </c>
    </row>
    <row r="60" spans="1:24">
      <c r="A60" t="str">
        <f t="shared" si="0"/>
        <v>CE23800</v>
      </c>
      <c r="B60" t="str">
        <f t="shared" si="1"/>
        <v>PE23800</v>
      </c>
      <c r="D60" s="1">
        <v>8040</v>
      </c>
      <c r="E60" s="1">
        <v>-2920</v>
      </c>
      <c r="F60" s="1">
        <v>6335</v>
      </c>
      <c r="G60">
        <v>37.130000000000003</v>
      </c>
      <c r="H60">
        <v>0.35</v>
      </c>
      <c r="I60">
        <v>-0.95</v>
      </c>
      <c r="J60" s="1">
        <v>1640</v>
      </c>
      <c r="K60">
        <v>0.35</v>
      </c>
      <c r="L60">
        <v>0.8</v>
      </c>
      <c r="M60" s="1">
        <v>1000</v>
      </c>
      <c r="N60">
        <v>23800</v>
      </c>
      <c r="O60" s="1">
        <v>40</v>
      </c>
      <c r="P60" s="81">
        <v>1213.5999999999999</v>
      </c>
      <c r="Q60" s="81">
        <v>1267.55</v>
      </c>
      <c r="R60">
        <v>40</v>
      </c>
      <c r="S60" t="s">
        <v>14</v>
      </c>
      <c r="T60" s="81">
        <v>1137.4000000000001</v>
      </c>
      <c r="U60" t="s">
        <v>14</v>
      </c>
      <c r="V60" t="s">
        <v>14</v>
      </c>
      <c r="W60" t="s">
        <v>14</v>
      </c>
      <c r="X60">
        <v>40</v>
      </c>
    </row>
    <row r="61" spans="1:24">
      <c r="A61" t="str">
        <f t="shared" si="0"/>
        <v>CE23900</v>
      </c>
      <c r="B61" t="str">
        <f t="shared" si="1"/>
        <v>PE23900</v>
      </c>
      <c r="D61" s="1">
        <v>27440</v>
      </c>
      <c r="E61">
        <v>-40</v>
      </c>
      <c r="F61">
        <v>324</v>
      </c>
      <c r="G61">
        <v>40.22</v>
      </c>
      <c r="H61">
        <v>0.4</v>
      </c>
      <c r="I61">
        <v>-0.9</v>
      </c>
      <c r="J61" s="1">
        <v>40</v>
      </c>
      <c r="K61">
        <v>0.4</v>
      </c>
      <c r="L61">
        <v>0.5</v>
      </c>
      <c r="M61" s="1">
        <v>520</v>
      </c>
      <c r="N61">
        <v>23900</v>
      </c>
      <c r="O61" s="1">
        <v>240</v>
      </c>
      <c r="P61" s="81">
        <v>1284.3</v>
      </c>
      <c r="Q61" s="81">
        <v>1384.75</v>
      </c>
      <c r="R61">
        <v>40</v>
      </c>
      <c r="S61" t="s">
        <v>14</v>
      </c>
      <c r="T61" t="s">
        <v>14</v>
      </c>
      <c r="U61" t="s">
        <v>14</v>
      </c>
      <c r="V61" t="s">
        <v>14</v>
      </c>
      <c r="W61" t="s">
        <v>14</v>
      </c>
      <c r="X61" t="s">
        <v>14</v>
      </c>
    </row>
    <row r="62" spans="1:24">
      <c r="A62" t="str">
        <f t="shared" si="0"/>
        <v>CE24000</v>
      </c>
      <c r="B62" t="str">
        <f t="shared" si="1"/>
        <v>PE24000</v>
      </c>
      <c r="D62" s="1">
        <v>44400</v>
      </c>
      <c r="E62" s="1">
        <v>-5960</v>
      </c>
      <c r="F62" s="1">
        <v>61752</v>
      </c>
      <c r="G62">
        <v>40.96</v>
      </c>
      <c r="H62">
        <v>0.25</v>
      </c>
      <c r="I62">
        <v>-0.4</v>
      </c>
      <c r="J62" s="1">
        <v>4840</v>
      </c>
      <c r="K62">
        <v>0.1</v>
      </c>
      <c r="L62">
        <v>0.15</v>
      </c>
      <c r="M62" s="1">
        <v>760</v>
      </c>
      <c r="N62">
        <v>24000</v>
      </c>
      <c r="O62">
        <v>40</v>
      </c>
      <c r="P62" s="81">
        <v>1422.3</v>
      </c>
      <c r="Q62" s="81">
        <v>1463.1</v>
      </c>
      <c r="R62">
        <v>80</v>
      </c>
      <c r="S62">
        <v>108.85</v>
      </c>
      <c r="T62" s="81">
        <v>1555.6</v>
      </c>
      <c r="U62">
        <v>111.65</v>
      </c>
      <c r="V62" s="1">
        <v>75</v>
      </c>
      <c r="W62" s="1">
        <v>-2880</v>
      </c>
      <c r="X62" s="1">
        <v>2160</v>
      </c>
    </row>
    <row r="63" spans="1:24">
      <c r="A63" t="str">
        <f t="shared" si="0"/>
        <v>CE24100</v>
      </c>
      <c r="B63" t="str">
        <f t="shared" si="1"/>
        <v>PE24100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s="1" t="s">
        <v>14</v>
      </c>
      <c r="K63" t="s">
        <v>14</v>
      </c>
      <c r="L63">
        <v>2</v>
      </c>
      <c r="M63" s="1">
        <v>2400</v>
      </c>
      <c r="N63">
        <v>24100</v>
      </c>
      <c r="O63">
        <v>200</v>
      </c>
      <c r="P63" s="81">
        <v>1348.55</v>
      </c>
      <c r="Q63" s="81">
        <v>1654</v>
      </c>
      <c r="R63">
        <v>200</v>
      </c>
      <c r="S63" t="s">
        <v>14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</row>
    <row r="64" spans="1:24">
      <c r="A64" t="str">
        <f t="shared" si="0"/>
        <v>CE24200</v>
      </c>
      <c r="B64" t="str">
        <f t="shared" si="1"/>
        <v>PE24200</v>
      </c>
      <c r="D64" s="1">
        <v>1760</v>
      </c>
      <c r="E64" t="s">
        <v>14</v>
      </c>
      <c r="F64" s="1" t="s">
        <v>14</v>
      </c>
      <c r="G64" t="s">
        <v>14</v>
      </c>
      <c r="H64">
        <v>2</v>
      </c>
      <c r="I64" t="s">
        <v>14</v>
      </c>
      <c r="J64" s="1" t="s">
        <v>14</v>
      </c>
      <c r="K64" t="s">
        <v>14</v>
      </c>
      <c r="L64">
        <v>2</v>
      </c>
      <c r="M64" s="1">
        <v>2400</v>
      </c>
      <c r="N64">
        <v>24200</v>
      </c>
      <c r="O64">
        <v>200</v>
      </c>
      <c r="P64" s="81">
        <v>1448.9</v>
      </c>
      <c r="Q64" s="81">
        <v>1785.2</v>
      </c>
      <c r="R64">
        <v>200</v>
      </c>
      <c r="S64" t="s">
        <v>14</v>
      </c>
      <c r="T64" t="s">
        <v>14</v>
      </c>
      <c r="U64" t="s">
        <v>14</v>
      </c>
      <c r="V64" s="1" t="s">
        <v>14</v>
      </c>
      <c r="W64" t="s">
        <v>14</v>
      </c>
      <c r="X64" s="1" t="s">
        <v>14</v>
      </c>
    </row>
    <row r="65" spans="1:25">
      <c r="A65" t="str">
        <f t="shared" si="0"/>
        <v>CE24300</v>
      </c>
      <c r="B65" t="str">
        <f t="shared" si="1"/>
        <v>PE24300</v>
      </c>
      <c r="D65" s="1">
        <v>2840</v>
      </c>
      <c r="E65">
        <v>-160</v>
      </c>
      <c r="F65" s="1">
        <v>4</v>
      </c>
      <c r="G65">
        <v>42.52</v>
      </c>
      <c r="H65">
        <v>0.05</v>
      </c>
      <c r="I65">
        <v>-0.05</v>
      </c>
      <c r="J65" t="s">
        <v>14</v>
      </c>
      <c r="K65" t="s">
        <v>14</v>
      </c>
      <c r="L65">
        <v>1.9</v>
      </c>
      <c r="M65" s="1">
        <v>2400</v>
      </c>
      <c r="N65">
        <v>24300</v>
      </c>
      <c r="O65">
        <v>40</v>
      </c>
      <c r="P65" s="81">
        <v>1710.85</v>
      </c>
      <c r="Q65" s="81">
        <v>1793.2</v>
      </c>
      <c r="R65">
        <v>200</v>
      </c>
      <c r="S65" t="s">
        <v>14</v>
      </c>
      <c r="T65" t="s">
        <v>14</v>
      </c>
      <c r="U65" t="s">
        <v>14</v>
      </c>
      <c r="V65" t="s">
        <v>14</v>
      </c>
      <c r="W65" t="s">
        <v>14</v>
      </c>
      <c r="X65" t="s">
        <v>14</v>
      </c>
    </row>
    <row r="66" spans="1:25">
      <c r="A66" t="e">
        <f>"CE"&amp;#REF!</f>
        <v>#REF!</v>
      </c>
      <c r="B66" t="e">
        <f>"PE"&amp;#REF!</f>
        <v>#REF!</v>
      </c>
      <c r="D66" s="1">
        <v>2040</v>
      </c>
      <c r="E66" s="1" t="s">
        <v>14</v>
      </c>
      <c r="F66" s="1">
        <v>3000</v>
      </c>
      <c r="G66">
        <v>47.01</v>
      </c>
      <c r="H66">
        <v>0.1</v>
      </c>
      <c r="I66">
        <v>-1.7</v>
      </c>
      <c r="J66" s="1" t="s">
        <v>14</v>
      </c>
      <c r="K66" t="s">
        <v>14</v>
      </c>
      <c r="L66" t="s">
        <v>14</v>
      </c>
      <c r="M66" s="1" t="s">
        <v>14</v>
      </c>
      <c r="N66">
        <v>24400</v>
      </c>
      <c r="O66" s="1">
        <v>1000</v>
      </c>
      <c r="P66" s="81">
        <v>1261</v>
      </c>
      <c r="Q66" s="81">
        <v>2297.5</v>
      </c>
      <c r="R66">
        <v>40</v>
      </c>
      <c r="S66" t="s">
        <v>14</v>
      </c>
      <c r="T66" t="s">
        <v>14</v>
      </c>
      <c r="U66" t="s">
        <v>14</v>
      </c>
      <c r="V66" t="s">
        <v>14</v>
      </c>
      <c r="W66" t="s">
        <v>14</v>
      </c>
      <c r="X66" t="s">
        <v>14</v>
      </c>
    </row>
    <row r="67" spans="1:25">
      <c r="A67" t="e">
        <f>"CE"&amp;#REF!</f>
        <v>#REF!</v>
      </c>
      <c r="B67" t="e">
        <f>"PE"&amp;#REF!</f>
        <v>#REF!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s="1" t="s">
        <v>14</v>
      </c>
      <c r="K67" t="s">
        <v>14</v>
      </c>
      <c r="L67" t="s">
        <v>14</v>
      </c>
      <c r="M67" s="1" t="s">
        <v>14</v>
      </c>
      <c r="N67">
        <v>24500</v>
      </c>
      <c r="O67" s="1">
        <v>1000</v>
      </c>
      <c r="P67" s="81">
        <v>1345</v>
      </c>
      <c r="Q67" s="81">
        <v>2409.5</v>
      </c>
      <c r="R67">
        <v>40</v>
      </c>
      <c r="S67" t="s">
        <v>14</v>
      </c>
      <c r="T67" t="s">
        <v>14</v>
      </c>
      <c r="U67" t="s">
        <v>14</v>
      </c>
      <c r="V67" t="s">
        <v>14</v>
      </c>
      <c r="W67" t="s">
        <v>14</v>
      </c>
      <c r="X67" t="s">
        <v>14</v>
      </c>
    </row>
    <row r="68" spans="1:25">
      <c r="A68" t="e">
        <f>"CE"&amp;#REF!</f>
        <v>#REF!</v>
      </c>
      <c r="B68" t="e">
        <f>"PE"&amp;#REF!</f>
        <v>#REF!</v>
      </c>
      <c r="C68" t="s">
        <v>31</v>
      </c>
      <c r="D68" s="1">
        <v>5918960</v>
      </c>
      <c r="F68" s="1">
        <v>1248315</v>
      </c>
      <c r="V68" s="1">
        <v>1319662</v>
      </c>
      <c r="X68" s="1">
        <v>6489080</v>
      </c>
      <c r="Y68" t="s">
        <v>31</v>
      </c>
    </row>
    <row r="69" spans="1:25">
      <c r="A69" t="e">
        <f>"CE"&amp;#REF!</f>
        <v>#REF!</v>
      </c>
      <c r="B69" t="e">
        <f>"PE"&amp;#REF!</f>
        <v>#REF!</v>
      </c>
    </row>
    <row r="70" spans="1:25">
      <c r="A70" t="e">
        <f>"CE"&amp;#REF!</f>
        <v>#REF!</v>
      </c>
      <c r="B70" t="e">
        <f>"PE"&amp;#REF!</f>
        <v>#REF!</v>
      </c>
      <c r="C70" t="s">
        <v>53</v>
      </c>
    </row>
    <row r="71" spans="1:25">
      <c r="A71" t="e">
        <f>"CE"&amp;#REF!</f>
        <v>#REF!</v>
      </c>
      <c r="B71" t="e">
        <f>"PE"&amp;#REF!</f>
        <v>#REF!</v>
      </c>
      <c r="C71" t="s">
        <v>54</v>
      </c>
    </row>
    <row r="72" spans="1:25">
      <c r="A72" t="e">
        <f>"CE"&amp;#REF!</f>
        <v>#REF!</v>
      </c>
      <c r="B72" t="e">
        <f>"PE"&amp;#REF!</f>
        <v>#REF!</v>
      </c>
      <c r="C72" t="s">
        <v>55</v>
      </c>
    </row>
    <row r="73" spans="1:25">
      <c r="A73" t="e">
        <f>"CE"&amp;#REF!</f>
        <v>#REF!</v>
      </c>
      <c r="B73" t="e">
        <f>"PE"&amp;#REF!</f>
        <v>#REF!</v>
      </c>
    </row>
    <row r="74" spans="1:25">
      <c r="A74" t="e">
        <f>"CE"&amp;#REF!</f>
        <v>#REF!</v>
      </c>
      <c r="B74" t="e">
        <f>"PE"&amp;#REF!</f>
        <v>#REF!</v>
      </c>
    </row>
    <row r="75" spans="1:25">
      <c r="A75" t="e">
        <f>"CE"&amp;#REF!</f>
        <v>#REF!</v>
      </c>
      <c r="B75" t="e">
        <f>"PE"&amp;#REF!</f>
        <v>#REF!</v>
      </c>
    </row>
    <row r="76" spans="1:25">
      <c r="A76" t="e">
        <f>"CE"&amp;#REF!</f>
        <v>#REF!</v>
      </c>
      <c r="B76" t="e">
        <f>"PE"&amp;#REF!</f>
        <v>#REF!</v>
      </c>
    </row>
    <row r="77" spans="1:25">
      <c r="A77" t="e">
        <f>"CE"&amp;#REF!</f>
        <v>#REF!</v>
      </c>
      <c r="B77" t="e">
        <f>"PE"&amp;#REF!</f>
        <v>#REF!</v>
      </c>
    </row>
    <row r="78" spans="1:25">
      <c r="A78" t="e">
        <f>"CE"&amp;#REF!</f>
        <v>#REF!</v>
      </c>
      <c r="B78" t="e">
        <f>"PE"&amp;#REF!</f>
        <v>#REF!</v>
      </c>
    </row>
    <row r="79" spans="1:25">
      <c r="A79" t="e">
        <f>"CE"&amp;#REF!</f>
        <v>#REF!</v>
      </c>
      <c r="B79" t="e">
        <f>"PE"&amp;#REF!</f>
        <v>#REF!</v>
      </c>
    </row>
    <row r="80" spans="1:25">
      <c r="A80" t="e">
        <f>"CE"&amp;#REF!</f>
        <v>#REF!</v>
      </c>
      <c r="B80" t="e">
        <f>"PE"&amp;#REF!</f>
        <v>#REF!</v>
      </c>
    </row>
    <row r="81" spans="1:2">
      <c r="A81" t="e">
        <f>"CE"&amp;#REF!</f>
        <v>#REF!</v>
      </c>
      <c r="B81" t="e">
        <f>"PE"&amp;#REF!</f>
        <v>#REF!</v>
      </c>
    </row>
    <row r="82" spans="1:2">
      <c r="A82" t="e">
        <f>"CE"&amp;#REF!</f>
        <v>#REF!</v>
      </c>
      <c r="B82" t="e">
        <f>"PE"&amp;#REF!</f>
        <v>#REF!</v>
      </c>
    </row>
    <row r="83" spans="1:2">
      <c r="A83" t="e">
        <f>"CE"&amp;#REF!</f>
        <v>#REF!</v>
      </c>
      <c r="B83" t="e">
        <f>"PE"&amp;#REF!</f>
        <v>#REF!</v>
      </c>
    </row>
    <row r="84" spans="1:2">
      <c r="A84" t="e">
        <f>"CE"&amp;#REF!</f>
        <v>#REF!</v>
      </c>
      <c r="B84" t="e">
        <f>"PE"&amp;#REF!</f>
        <v>#REF!</v>
      </c>
    </row>
    <row r="85" spans="1:2">
      <c r="A85" t="e">
        <f>"CE"&amp;#REF!</f>
        <v>#REF!</v>
      </c>
      <c r="B85" t="e">
        <f>"PE"&amp;#REF!</f>
        <v>#REF!</v>
      </c>
    </row>
    <row r="86" spans="1:2">
      <c r="A86" t="e">
        <f>"CE"&amp;#REF!</f>
        <v>#REF!</v>
      </c>
      <c r="B86" t="e">
        <f>"PE"&amp;#REF!</f>
        <v>#REF!</v>
      </c>
    </row>
    <row r="87" spans="1:2">
      <c r="A87" t="e">
        <f>"CE"&amp;#REF!</f>
        <v>#REF!</v>
      </c>
      <c r="B87" t="e">
        <f>"PE"&amp;#REF!</f>
        <v>#REF!</v>
      </c>
    </row>
    <row r="88" spans="1:2">
      <c r="A88" t="e">
        <f>"CE"&amp;#REF!</f>
        <v>#REF!</v>
      </c>
      <c r="B88" t="e">
        <f>"PE"&amp;#REF!</f>
        <v>#REF!</v>
      </c>
    </row>
    <row r="89" spans="1:2">
      <c r="A89" t="e">
        <f>"CE"&amp;#REF!</f>
        <v>#REF!</v>
      </c>
      <c r="B89" t="e">
        <f>"PE"&amp;#REF!</f>
        <v>#REF!</v>
      </c>
    </row>
    <row r="90" spans="1:2">
      <c r="A90" t="e">
        <f>"CE"&amp;#REF!</f>
        <v>#REF!</v>
      </c>
      <c r="B90" t="e">
        <f>"PE"&amp;#REF!</f>
        <v>#REF!</v>
      </c>
    </row>
    <row r="91" spans="1:2">
      <c r="A91" t="e">
        <f>"CE"&amp;#REF!</f>
        <v>#REF!</v>
      </c>
      <c r="B91" t="e">
        <f>"PE"&amp;#REF!</f>
        <v>#REF!</v>
      </c>
    </row>
    <row r="92" spans="1:2">
      <c r="A92" t="e">
        <f>"CE"&amp;#REF!</f>
        <v>#REF!</v>
      </c>
      <c r="B92" t="e">
        <f>"PE"&amp;#REF!</f>
        <v>#REF!</v>
      </c>
    </row>
    <row r="93" spans="1:2">
      <c r="A93" t="e">
        <f>"CE"&amp;#REF!</f>
        <v>#REF!</v>
      </c>
      <c r="B93" t="e">
        <f>"PE"&amp;#REF!</f>
        <v>#REF!</v>
      </c>
    </row>
    <row r="94" spans="1:2">
      <c r="A94" t="e">
        <f>"CE"&amp;#REF!</f>
        <v>#REF!</v>
      </c>
      <c r="B94" t="e">
        <f>"PE"&amp;#REF!</f>
        <v>#REF!</v>
      </c>
    </row>
    <row r="95" spans="1:2">
      <c r="A95" t="e">
        <f>"CE"&amp;#REF!</f>
        <v>#REF!</v>
      </c>
      <c r="B95" t="e">
        <f>"PE"&amp;#REF!</f>
        <v>#REF!</v>
      </c>
    </row>
    <row r="96" spans="1:2">
      <c r="A96" t="e">
        <f>"CE"&amp;#REF!</f>
        <v>#REF!</v>
      </c>
      <c r="B96" t="e">
        <f>"PE"&amp;#REF!</f>
        <v>#REF!</v>
      </c>
    </row>
    <row r="97" spans="1:2">
      <c r="A97" t="e">
        <f>"CE"&amp;#REF!</f>
        <v>#REF!</v>
      </c>
      <c r="B97" t="e">
        <f>"PE"&amp;#REF!</f>
        <v>#REF!</v>
      </c>
    </row>
    <row r="98" spans="1:2">
      <c r="A98" t="e">
        <f>"CE"&amp;#REF!</f>
        <v>#REF!</v>
      </c>
      <c r="B98" t="e">
        <f>"PE"&amp;#REF!</f>
        <v>#REF!</v>
      </c>
    </row>
    <row r="99" spans="1:2">
      <c r="A99" t="e">
        <f>"CE"&amp;#REF!</f>
        <v>#REF!</v>
      </c>
      <c r="B99" t="e">
        <f>"PE"&amp;#REF!</f>
        <v>#REF!</v>
      </c>
    </row>
    <row r="100" spans="1:2">
      <c r="A100" t="e">
        <f>"CE"&amp;#REF!</f>
        <v>#REF!</v>
      </c>
      <c r="B100" t="e">
        <f>"PE"&amp;#REF!</f>
        <v>#REF!</v>
      </c>
    </row>
    <row r="101" spans="1:2">
      <c r="A101" t="e">
        <f>"CE"&amp;#REF!</f>
        <v>#REF!</v>
      </c>
      <c r="B101" t="e">
        <f>"PE"&amp;#REF!</f>
        <v>#REF!</v>
      </c>
    </row>
    <row r="102" spans="1:2">
      <c r="A102" t="e">
        <f>"CE"&amp;#REF!</f>
        <v>#REF!</v>
      </c>
      <c r="B102" t="e">
        <f>"PE"&amp;#REF!</f>
        <v>#REF!</v>
      </c>
    </row>
    <row r="103" spans="1:2">
      <c r="A103" t="e">
        <f>"CE"&amp;#REF!</f>
        <v>#REF!</v>
      </c>
      <c r="B103" t="e">
        <f>"PE"&amp;#REF!</f>
        <v>#REF!</v>
      </c>
    </row>
    <row r="104" spans="1:2">
      <c r="A104" t="e">
        <f>"CE"&amp;#REF!</f>
        <v>#REF!</v>
      </c>
      <c r="B104" t="e">
        <f>"PE"&amp;#REF!</f>
        <v>#REF!</v>
      </c>
    </row>
    <row r="105" spans="1:2">
      <c r="A105" t="e">
        <f>"CE"&amp;#REF!</f>
        <v>#REF!</v>
      </c>
      <c r="B105" t="e">
        <f>"PE"&amp;#REF!</f>
        <v>#REF!</v>
      </c>
    </row>
    <row r="106" spans="1:2">
      <c r="A106" t="e">
        <f>"CE"&amp;#REF!</f>
        <v>#REF!</v>
      </c>
      <c r="B106" t="e">
        <f>"PE"&amp;#REF!</f>
        <v>#REF!</v>
      </c>
    </row>
    <row r="107" spans="1:2">
      <c r="A107" t="e">
        <f>"CE"&amp;#REF!</f>
        <v>#REF!</v>
      </c>
      <c r="B107" t="e">
        <f>"PE"&amp;#REF!</f>
        <v>#REF!</v>
      </c>
    </row>
    <row r="108" spans="1:2">
      <c r="A108" t="e">
        <f>"CE"&amp;#REF!</f>
        <v>#REF!</v>
      </c>
      <c r="B108" t="e">
        <f>"PE"&amp;#REF!</f>
        <v>#REF!</v>
      </c>
    </row>
    <row r="109" spans="1:2">
      <c r="A109" t="e">
        <f>"CE"&amp;#REF!</f>
        <v>#REF!</v>
      </c>
      <c r="B109" t="e">
        <f>"PE"&amp;#REF!</f>
        <v>#REF!</v>
      </c>
    </row>
    <row r="110" spans="1:2">
      <c r="A110" t="e">
        <f>"CE"&amp;#REF!</f>
        <v>#REF!</v>
      </c>
      <c r="B110" t="e">
        <f>"PE"&amp;#REF!</f>
        <v>#REF!</v>
      </c>
    </row>
    <row r="111" spans="1:2">
      <c r="A111" t="e">
        <f>"CE"&amp;#REF!</f>
        <v>#REF!</v>
      </c>
      <c r="B111" t="e">
        <f>"PE"&amp;#REF!</f>
        <v>#REF!</v>
      </c>
    </row>
    <row r="112" spans="1:2">
      <c r="A112" t="e">
        <f>"CE"&amp;#REF!</f>
        <v>#REF!</v>
      </c>
      <c r="B112" t="e">
        <f>"PE"&amp;#REF!</f>
        <v>#REF!</v>
      </c>
    </row>
    <row r="113" spans="1:2">
      <c r="A113" t="e">
        <f>"CE"&amp;#REF!</f>
        <v>#REF!</v>
      </c>
      <c r="B113" t="e">
        <f>"PE"&amp;#REF!</f>
        <v>#REF!</v>
      </c>
    </row>
    <row r="114" spans="1:2">
      <c r="A114" t="e">
        <f>"CE"&amp;#REF!</f>
        <v>#REF!</v>
      </c>
      <c r="B114" t="e">
        <f>"PE"&amp;#REF!</f>
        <v>#REF!</v>
      </c>
    </row>
    <row r="115" spans="1:2">
      <c r="A115" t="e">
        <f>"CE"&amp;#REF!</f>
        <v>#REF!</v>
      </c>
      <c r="B115" t="e">
        <f>"PE"&amp;#REF!</f>
        <v>#REF!</v>
      </c>
    </row>
    <row r="116" spans="1:2">
      <c r="A116" t="e">
        <f>"CE"&amp;#REF!</f>
        <v>#REF!</v>
      </c>
      <c r="B116" t="e">
        <f>"PE"&amp;#REF!</f>
        <v>#REF!</v>
      </c>
    </row>
    <row r="117" spans="1:2">
      <c r="A117" t="e">
        <f>"CE"&amp;#REF!</f>
        <v>#REF!</v>
      </c>
      <c r="B117" t="e">
        <f>"PE"&amp;#REF!</f>
        <v>#REF!</v>
      </c>
    </row>
    <row r="118" spans="1:2">
      <c r="A118" t="e">
        <f>"CE"&amp;#REF!</f>
        <v>#REF!</v>
      </c>
      <c r="B118" t="e">
        <f>"PE"&amp;#REF!</f>
        <v>#REF!</v>
      </c>
    </row>
    <row r="119" spans="1:2">
      <c r="A119" t="e">
        <f>"CE"&amp;#REF!</f>
        <v>#REF!</v>
      </c>
      <c r="B119" t="e">
        <f>"PE"&amp;#REF!</f>
        <v>#REF!</v>
      </c>
    </row>
    <row r="120" spans="1:2">
      <c r="A120" t="e">
        <f>"CE"&amp;#REF!</f>
        <v>#REF!</v>
      </c>
      <c r="B120" t="e">
        <f>"PE"&amp;#REF!</f>
        <v>#REF!</v>
      </c>
    </row>
    <row r="121" spans="1:2">
      <c r="A121" t="e">
        <f>"CE"&amp;#REF!</f>
        <v>#REF!</v>
      </c>
      <c r="B121" t="e">
        <f>"PE"&amp;#REF!</f>
        <v>#REF!</v>
      </c>
    </row>
    <row r="122" spans="1:2">
      <c r="A122" t="e">
        <f>"CE"&amp;#REF!</f>
        <v>#REF!</v>
      </c>
      <c r="B122" t="e">
        <f>"PE"&amp;#REF!</f>
        <v>#REF!</v>
      </c>
    </row>
    <row r="123" spans="1:2">
      <c r="A123" t="e">
        <f>"CE"&amp;#REF!</f>
        <v>#REF!</v>
      </c>
      <c r="B123" t="e">
        <f>"PE"&amp;#REF!</f>
        <v>#REF!</v>
      </c>
    </row>
    <row r="124" spans="1:2">
      <c r="A124" t="e">
        <f>"CE"&amp;#REF!</f>
        <v>#REF!</v>
      </c>
      <c r="B124" t="e">
        <f>"PE"&amp;#REF!</f>
        <v>#REF!</v>
      </c>
    </row>
    <row r="125" spans="1:2">
      <c r="A125" t="e">
        <f>"CE"&amp;#REF!</f>
        <v>#REF!</v>
      </c>
      <c r="B125" t="e">
        <f>"PE"&amp;#REF!</f>
        <v>#REF!</v>
      </c>
    </row>
    <row r="126" spans="1:2">
      <c r="A126" t="e">
        <f>"CE"&amp;#REF!</f>
        <v>#REF!</v>
      </c>
      <c r="B126" t="e">
        <f>"PE"&amp;#REF!</f>
        <v>#REF!</v>
      </c>
    </row>
    <row r="127" spans="1:2">
      <c r="A127" t="e">
        <f>"CE"&amp;#REF!</f>
        <v>#REF!</v>
      </c>
      <c r="B127" t="e">
        <f>"PE"&amp;#REF!</f>
        <v>#REF!</v>
      </c>
    </row>
    <row r="128" spans="1:2">
      <c r="A128" t="e">
        <f>"CE"&amp;#REF!</f>
        <v>#REF!</v>
      </c>
      <c r="B128" t="e">
        <f>"PE"&amp;#REF!</f>
        <v>#REF!</v>
      </c>
    </row>
    <row r="129" spans="1:2">
      <c r="A129" t="e">
        <f>"CE"&amp;#REF!</f>
        <v>#REF!</v>
      </c>
      <c r="B129" t="e">
        <f>"PE"&amp;#REF!</f>
        <v>#REF!</v>
      </c>
    </row>
    <row r="130" spans="1:2">
      <c r="A130" t="e">
        <f>"CE"&amp;#REF!</f>
        <v>#REF!</v>
      </c>
      <c r="B130" t="e">
        <f>"PE"&amp;#REF!</f>
        <v>#REF!</v>
      </c>
    </row>
    <row r="131" spans="1:2">
      <c r="A131" t="str">
        <f t="shared" ref="A131:A137" si="2">"CE"&amp;N90</f>
        <v>CE</v>
      </c>
      <c r="B131" t="str">
        <f t="shared" ref="B131:B137" si="3">"PE"&amp;N90</f>
        <v>PE</v>
      </c>
    </row>
    <row r="132" spans="1:2">
      <c r="A132" t="str">
        <f t="shared" si="2"/>
        <v>CE</v>
      </c>
      <c r="B132" t="str">
        <f t="shared" si="3"/>
        <v>PE</v>
      </c>
    </row>
    <row r="133" spans="1:2">
      <c r="A133" t="str">
        <f t="shared" si="2"/>
        <v>CE</v>
      </c>
      <c r="B133" t="str">
        <f t="shared" si="3"/>
        <v>PE</v>
      </c>
    </row>
    <row r="134" spans="1:2">
      <c r="A134" t="str">
        <f t="shared" si="2"/>
        <v>CE</v>
      </c>
      <c r="B134" t="str">
        <f t="shared" si="3"/>
        <v>PE</v>
      </c>
    </row>
    <row r="135" spans="1:2">
      <c r="A135" t="str">
        <f t="shared" si="2"/>
        <v>CE</v>
      </c>
      <c r="B135" t="str">
        <f t="shared" si="3"/>
        <v>PE</v>
      </c>
    </row>
    <row r="136" spans="1:2">
      <c r="A136" t="str">
        <f t="shared" si="2"/>
        <v>CE</v>
      </c>
      <c r="B136" t="str">
        <f t="shared" si="3"/>
        <v>PE</v>
      </c>
    </row>
    <row r="137" spans="1:2">
      <c r="A137" t="str">
        <f t="shared" si="2"/>
        <v>CE</v>
      </c>
      <c r="B137" t="str">
        <f t="shared" si="3"/>
        <v>PE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B1" workbookViewId="0">
      <selection activeCell="K24" sqref="K24"/>
    </sheetView>
  </sheetViews>
  <sheetFormatPr baseColWidth="10" defaultColWidth="7.6640625" defaultRowHeight="14" x14ac:dyDescent="0"/>
  <cols>
    <col min="1" max="1" width="8.6640625" hidden="1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90" t="s">
        <v>43</v>
      </c>
      <c r="R1" s="91"/>
      <c r="S1" s="92"/>
      <c r="T1" s="67" t="s">
        <v>42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BNF'!A4</f>
        <v>22536.3</v>
      </c>
      <c r="K2" s="2"/>
      <c r="L2" s="6" t="str">
        <f>'Data BNF'!A2</f>
        <v>Last Update @  15:30:29</v>
      </c>
      <c r="M2" s="7"/>
      <c r="N2" s="7"/>
      <c r="O2" s="71" t="str">
        <f>'Data BNF'!A1</f>
        <v>May 24, 2017</v>
      </c>
      <c r="P2" s="2"/>
      <c r="Q2" s="72" t="s">
        <v>45</v>
      </c>
      <c r="R2" s="69" t="s">
        <v>44</v>
      </c>
      <c r="S2" s="72" t="s">
        <v>46</v>
      </c>
      <c r="T2" s="73">
        <f ca="1">TODAY()</f>
        <v>43088</v>
      </c>
      <c r="U2" s="2"/>
    </row>
    <row r="3" spans="1:21" ht="18">
      <c r="A3" s="2"/>
      <c r="B3" s="2"/>
      <c r="C3" s="2"/>
      <c r="D3" s="7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8"/>
      <c r="Q3" s="68">
        <v>0.72</v>
      </c>
      <c r="R3" s="70">
        <f>'PAIN Nifty'!B23</f>
        <v>0</v>
      </c>
      <c r="S3" s="68">
        <v>1.6</v>
      </c>
      <c r="T3" s="68"/>
      <c r="U3" s="2"/>
    </row>
    <row r="4" spans="1:21">
      <c r="A4" s="2"/>
      <c r="B4" s="2"/>
      <c r="C4" s="2"/>
      <c r="D4" s="93" t="str">
        <f>'Data BNF'!C3</f>
        <v xml:space="preserve">OR </v>
      </c>
      <c r="E4" s="94"/>
      <c r="F4" s="94"/>
      <c r="G4" s="94"/>
      <c r="H4" s="94"/>
      <c r="I4" s="95"/>
      <c r="J4" s="95"/>
      <c r="K4" s="96"/>
      <c r="L4" s="8"/>
      <c r="M4" s="97">
        <f>'Data BNF'!O3</f>
        <v>0</v>
      </c>
      <c r="N4" s="98"/>
      <c r="O4" s="98"/>
      <c r="P4" s="99"/>
      <c r="Q4" s="99"/>
      <c r="R4" s="99"/>
      <c r="S4" s="99"/>
      <c r="T4" s="10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32</v>
      </c>
      <c r="H5" s="11" t="s">
        <v>40</v>
      </c>
      <c r="I5" s="11" t="s">
        <v>39</v>
      </c>
      <c r="J5" s="11" t="s">
        <v>41</v>
      </c>
      <c r="K5" s="11" t="s">
        <v>38</v>
      </c>
      <c r="L5" s="12" t="s">
        <v>20</v>
      </c>
      <c r="M5" s="11" t="s">
        <v>35</v>
      </c>
      <c r="N5" s="11" t="s">
        <v>34</v>
      </c>
      <c r="O5" s="11" t="s">
        <v>36</v>
      </c>
      <c r="P5" s="11" t="s">
        <v>37</v>
      </c>
      <c r="Q5" s="11" t="s">
        <v>33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CE21700</v>
      </c>
      <c r="B6" s="56" t="str">
        <f t="shared" ref="B6:B21" si="1">"PE"&amp;L6</f>
        <v>PE21700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Long Liquidation</v>
      </c>
      <c r="E6" s="15" t="str">
        <f t="shared" ref="E6:F20" si="3">IF(I6&gt;0,"UP","DOWN")</f>
        <v>DOWN</v>
      </c>
      <c r="F6" s="16" t="str">
        <f t="shared" si="3"/>
        <v>DOWN</v>
      </c>
      <c r="G6" s="17">
        <f>VLOOKUP(A6,'Data BNF'!A$11:AZ$113,6,0)</f>
        <v>12</v>
      </c>
      <c r="H6" s="18">
        <f>VLOOKUP(A6,'Data BNF'!A$11:AZ$113,4,0)</f>
        <v>2880</v>
      </c>
      <c r="I6" s="64">
        <f>VLOOKUP(A6,'Data BNF'!A$11:AZ$113,5,0)</f>
        <v>-160</v>
      </c>
      <c r="J6" s="16">
        <f>VLOOKUP(A6,'Data BNF'!A$11:AZ$113,9,0)</f>
        <v>-89.85</v>
      </c>
      <c r="K6" s="16">
        <f>VLOOKUP(A6,'Data BNF'!A$11:AZ$113,8,0)</f>
        <v>760</v>
      </c>
      <c r="L6" s="19">
        <f>L14-800</f>
        <v>21700</v>
      </c>
      <c r="M6" s="16">
        <f>VLOOKUP(B6,'Data BNF'!B$11:BN$113,19,0)</f>
        <v>2.25</v>
      </c>
      <c r="N6" s="16">
        <f>VLOOKUP(B6,'Data BNF'!B$11:BN$113,18,0)</f>
        <v>-4</v>
      </c>
      <c r="O6" s="64">
        <f>VLOOKUP(B6,'Data BNF'!B$11:BN$113,22,0)</f>
        <v>-1360</v>
      </c>
      <c r="P6" s="18">
        <f>VLOOKUP(B6,'Data BNF'!B$11:BN$113,23,0)</f>
        <v>65480</v>
      </c>
      <c r="Q6" s="17">
        <f>VLOOKUP(B6,'Data BNF'!B$11:BN$113,21,0)</f>
        <v>5685</v>
      </c>
      <c r="R6" s="16" t="str">
        <f t="shared" ref="R6:S21" si="4">IF(N6&gt;0,"UP","DOWN")</f>
        <v>DOWN</v>
      </c>
      <c r="S6" s="20" t="str">
        <f t="shared" si="4"/>
        <v>DOWN</v>
      </c>
      <c r="T6" s="21" t="str">
        <f t="shared" ref="T6:T21" si="5">IF(AND(N6&lt;0,O6&lt;0),"Long Liquidation",IF(AND(N6&lt;0,O6&gt;0),"Short Buildup",IF(AND(N6&gt;0,O6&gt;0),"Long Buildup",IF(AND(N6&gt;0,O6&lt;0),"Short covering"))))</f>
        <v>Long Liquidation</v>
      </c>
      <c r="U6" s="2"/>
    </row>
    <row r="7" spans="1:21">
      <c r="A7" s="56" t="str">
        <f>"CE"&amp;L7</f>
        <v>CE21800</v>
      </c>
      <c r="B7" s="56" t="str">
        <f>"PE"&amp;L7</f>
        <v>PE21800</v>
      </c>
      <c r="C7" s="2"/>
      <c r="D7" s="14" t="str">
        <f>IF(AND(J7&lt;0,I7&lt;0),"Long Liquidation",IF(AND(J7&lt;0,I7&gt;0),"Short Buildup",IF(AND(J7&gt;0,I7&gt;0),"Long Buildup",IF(AND(J7&gt;0,I7&lt;0),"Short covering"))))</f>
        <v>Long Liquidation</v>
      </c>
      <c r="E7" s="15" t="str">
        <f>IF(I7&gt;0,"UP","DOWN")</f>
        <v>DOWN</v>
      </c>
      <c r="F7" s="16" t="str">
        <f>IF(J7&gt;0,"UP","DOWN")</f>
        <v>DOWN</v>
      </c>
      <c r="G7" s="17">
        <f>VLOOKUP(A7,'Data BNF'!A$11:AZ$113,6,0)</f>
        <v>8</v>
      </c>
      <c r="H7" s="18">
        <f>VLOOKUP(A7,'Data BNF'!A$11:AZ$113,4,0)</f>
        <v>7040</v>
      </c>
      <c r="I7" s="64">
        <f>VLOOKUP(A7,'Data BNF'!A$11:AZ$113,5,0)</f>
        <v>-160</v>
      </c>
      <c r="J7" s="16">
        <f>VLOOKUP(A7,'Data BNF'!A$11:AZ$113,9,0)</f>
        <v>-105.7</v>
      </c>
      <c r="K7" s="16">
        <f>VLOOKUP(A7,'Data BNF'!A$11:AZ$113,8,0)</f>
        <v>735.3</v>
      </c>
      <c r="L7" s="19">
        <f>L14-700</f>
        <v>21800</v>
      </c>
      <c r="M7" s="16">
        <f>VLOOKUP(B7,'Data BNF'!B$11:BN$113,19,0)</f>
        <v>3.7</v>
      </c>
      <c r="N7" s="16">
        <f>VLOOKUP(B7,'Data BNF'!B$11:BN$113,18,0)</f>
        <v>-4.55</v>
      </c>
      <c r="O7" s="64">
        <f>VLOOKUP(B7,'Data BNF'!B$11:BN$113,22,0)</f>
        <v>-5600</v>
      </c>
      <c r="P7" s="18">
        <f>VLOOKUP(B7,'Data BNF'!B$11:BN$113,23,0)</f>
        <v>105040</v>
      </c>
      <c r="Q7" s="17">
        <f>VLOOKUP(B7,'Data BNF'!B$11:BN$113,21,0)</f>
        <v>16409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CE21900</v>
      </c>
      <c r="B8" s="56" t="str">
        <f t="shared" si="1"/>
        <v>PE21900</v>
      </c>
      <c r="C8" s="2"/>
      <c r="D8" s="14" t="str">
        <f t="shared" si="2"/>
        <v>Long Liquidation</v>
      </c>
      <c r="E8" s="15" t="str">
        <f t="shared" si="3"/>
        <v>DOWN</v>
      </c>
      <c r="F8" s="16" t="str">
        <f t="shared" si="3"/>
        <v>DOWN</v>
      </c>
      <c r="G8" s="17">
        <f>VLOOKUP(A8,'Data BNF'!A$11:AZ$113,6,0)</f>
        <v>14</v>
      </c>
      <c r="H8" s="18">
        <f>VLOOKUP(A8,'Data BNF'!A$11:AZ$113,4,0)</f>
        <v>760</v>
      </c>
      <c r="I8" s="64">
        <f>VLOOKUP(A8,'Data BNF'!A$11:AZ$113,5,0)</f>
        <v>-520</v>
      </c>
      <c r="J8" s="16">
        <f>VLOOKUP(A8,'Data BNF'!A$11:AZ$113,9,0)</f>
        <v>-157.25</v>
      </c>
      <c r="K8" s="16">
        <f>VLOOKUP(A8,'Data BNF'!A$11:AZ$113,8,0)</f>
        <v>635.54999999999995</v>
      </c>
      <c r="L8" s="19">
        <f>L14-600</f>
        <v>21900</v>
      </c>
      <c r="M8" s="16">
        <f>VLOOKUP(B8,'Data BNF'!B$11:BN$113,19,0)</f>
        <v>4.05</v>
      </c>
      <c r="N8" s="16">
        <f>VLOOKUP(B8,'Data BNF'!B$11:BN$113,18,0)</f>
        <v>-7.2</v>
      </c>
      <c r="O8" s="64">
        <f>VLOOKUP(B8,'Data BNF'!B$11:BN$113,22,0)</f>
        <v>-21200</v>
      </c>
      <c r="P8" s="18">
        <f>VLOOKUP(B8,'Data BNF'!B$11:BN$113,23,0)</f>
        <v>187840</v>
      </c>
      <c r="Q8" s="17">
        <f>VLOOKUP(B8,'Data BNF'!B$11:BN$113,21,0)</f>
        <v>25085</v>
      </c>
      <c r="R8" s="16" t="str">
        <f t="shared" si="4"/>
        <v>DOWN</v>
      </c>
      <c r="S8" s="20" t="str">
        <f t="shared" si="4"/>
        <v>DOWN</v>
      </c>
      <c r="T8" s="21" t="str">
        <f t="shared" si="5"/>
        <v>Long Liquidation</v>
      </c>
      <c r="U8" s="2"/>
    </row>
    <row r="9" spans="1:21">
      <c r="A9" s="56" t="str">
        <f t="shared" si="0"/>
        <v>CE22000</v>
      </c>
      <c r="B9" s="56" t="str">
        <f t="shared" si="1"/>
        <v>PE22000</v>
      </c>
      <c r="C9" s="2"/>
      <c r="D9" s="14" t="str">
        <f t="shared" si="2"/>
        <v>Long Liquidation</v>
      </c>
      <c r="E9" s="15" t="str">
        <f t="shared" si="3"/>
        <v>DOWN</v>
      </c>
      <c r="F9" s="16" t="str">
        <f t="shared" si="3"/>
        <v>DOWN</v>
      </c>
      <c r="G9" s="17">
        <f>VLOOKUP(A9,'Data BNF'!A$11:AZ$113,6,0)</f>
        <v>574</v>
      </c>
      <c r="H9" s="18">
        <f>VLOOKUP(A9,'Data BNF'!A$11:AZ$113,4,0)</f>
        <v>99360</v>
      </c>
      <c r="I9" s="64">
        <f>VLOOKUP(A9,'Data BNF'!A$11:AZ$113,5,0)</f>
        <v>-5200</v>
      </c>
      <c r="J9" s="16">
        <f>VLOOKUP(A9,'Data BNF'!A$11:AZ$113,9,0)</f>
        <v>-38.65</v>
      </c>
      <c r="K9" s="16">
        <f>VLOOKUP(A9,'Data BNF'!A$11:AZ$113,8,0)</f>
        <v>537</v>
      </c>
      <c r="L9" s="19">
        <f>L14-500</f>
        <v>22000</v>
      </c>
      <c r="M9" s="16">
        <f>VLOOKUP(B9,'Data BNF'!B$11:BN$113,19,0)</f>
        <v>6</v>
      </c>
      <c r="N9" s="16">
        <f>VLOOKUP(B9,'Data BNF'!B$11:BN$113,18,0)</f>
        <v>-9</v>
      </c>
      <c r="O9" s="64">
        <f>VLOOKUP(B9,'Data BNF'!B$11:BN$113,22,0)</f>
        <v>-5600</v>
      </c>
      <c r="P9" s="18">
        <f>VLOOKUP(B9,'Data BNF'!B$11:BN$113,23,0)</f>
        <v>1236480</v>
      </c>
      <c r="Q9" s="17">
        <f>VLOOKUP(B9,'Data BNF'!B$11:BN$113,21,0)</f>
        <v>95030</v>
      </c>
      <c r="R9" s="16" t="str">
        <f t="shared" si="4"/>
        <v>DOWN</v>
      </c>
      <c r="S9" s="20" t="str">
        <f t="shared" si="4"/>
        <v>DOWN</v>
      </c>
      <c r="T9" s="21" t="str">
        <f t="shared" si="5"/>
        <v>Long Liquidation</v>
      </c>
      <c r="U9" s="2"/>
    </row>
    <row r="10" spans="1:21">
      <c r="A10" s="56" t="str">
        <f t="shared" si="0"/>
        <v>CE22100</v>
      </c>
      <c r="B10" s="56" t="str">
        <f t="shared" si="1"/>
        <v>PE22100</v>
      </c>
      <c r="C10" s="2"/>
      <c r="D10" s="14" t="str">
        <f t="shared" si="2"/>
        <v>Long Liquidation</v>
      </c>
      <c r="E10" s="15" t="str">
        <f t="shared" si="3"/>
        <v>DOWN</v>
      </c>
      <c r="F10" s="16" t="str">
        <f t="shared" si="3"/>
        <v>DOWN</v>
      </c>
      <c r="G10" s="17">
        <f>VLOOKUP(A10,'Data BNF'!A$11:AZ$113,6,0)</f>
        <v>29</v>
      </c>
      <c r="H10" s="18">
        <f>VLOOKUP(A10,'Data BNF'!A$11:AZ$113,4,0)</f>
        <v>2560</v>
      </c>
      <c r="I10" s="64">
        <f>VLOOKUP(A10,'Data BNF'!A$11:AZ$113,5,0)</f>
        <v>-320</v>
      </c>
      <c r="J10" s="16">
        <f>VLOOKUP(A10,'Data BNF'!A$11:AZ$113,9,0)</f>
        <v>-32.65</v>
      </c>
      <c r="K10" s="16">
        <f>VLOOKUP(A10,'Data BNF'!A$11:AZ$113,8,0)</f>
        <v>441</v>
      </c>
      <c r="L10" s="19">
        <f>L14-400</f>
        <v>22100</v>
      </c>
      <c r="M10" s="16">
        <f>VLOOKUP(B10,'Data BNF'!B$11:BN$113,19,0)</f>
        <v>7.05</v>
      </c>
      <c r="N10" s="16">
        <f>VLOOKUP(B10,'Data BNF'!B$11:BN$113,18,0)</f>
        <v>-12.4</v>
      </c>
      <c r="O10" s="64">
        <f>VLOOKUP(B10,'Data BNF'!B$11:BN$113,22,0)</f>
        <v>-159320</v>
      </c>
      <c r="P10" s="18">
        <f>VLOOKUP(B10,'Data BNF'!B$11:BN$113,23,0)</f>
        <v>281040</v>
      </c>
      <c r="Q10" s="17">
        <f>VLOOKUP(B10,'Data BNF'!B$11:BN$113,21,0)</f>
        <v>80935</v>
      </c>
      <c r="R10" s="16" t="str">
        <f t="shared" si="4"/>
        <v>DOWN</v>
      </c>
      <c r="S10" s="20" t="str">
        <f t="shared" si="4"/>
        <v>DOWN</v>
      </c>
      <c r="T10" s="21" t="str">
        <f t="shared" si="5"/>
        <v>Long Liquidation</v>
      </c>
      <c r="U10" s="2"/>
    </row>
    <row r="11" spans="1:21">
      <c r="A11" s="56" t="str">
        <f t="shared" si="0"/>
        <v>CE22200</v>
      </c>
      <c r="B11" s="56" t="str">
        <f t="shared" si="1"/>
        <v>PE22200</v>
      </c>
      <c r="C11" s="2"/>
      <c r="D11" s="14" t="str">
        <f t="shared" si="2"/>
        <v>Long Liquidation</v>
      </c>
      <c r="E11" s="15" t="str">
        <f t="shared" si="3"/>
        <v>DOWN</v>
      </c>
      <c r="F11" s="16" t="str">
        <f t="shared" si="3"/>
        <v>DOWN</v>
      </c>
      <c r="G11" s="17">
        <f>VLOOKUP(A11,'Data BNF'!A$11:AZ$113,6,0)</f>
        <v>118</v>
      </c>
      <c r="H11" s="18">
        <f>VLOOKUP(A11,'Data BNF'!A$11:AZ$113,4,0)</f>
        <v>5600</v>
      </c>
      <c r="I11" s="64">
        <f>VLOOKUP(A11,'Data BNF'!A$11:AZ$113,5,0)</f>
        <v>-640</v>
      </c>
      <c r="J11" s="16">
        <f>VLOOKUP(A11,'Data BNF'!A$11:AZ$113,9,0)</f>
        <v>-42.25</v>
      </c>
      <c r="K11" s="16">
        <f>VLOOKUP(A11,'Data BNF'!A$11:AZ$113,8,0)</f>
        <v>329.2</v>
      </c>
      <c r="L11" s="19">
        <f>L14-300</f>
        <v>22200</v>
      </c>
      <c r="M11" s="16">
        <f>VLOOKUP(B11,'Data BNF'!B$11:BN$113,19,0)</f>
        <v>9</v>
      </c>
      <c r="N11" s="16">
        <f>VLOOKUP(B11,'Data BNF'!B$11:BN$113,18,0)</f>
        <v>-19.100000000000001</v>
      </c>
      <c r="O11" s="64">
        <f>VLOOKUP(B11,'Data BNF'!B$11:BN$113,22,0)</f>
        <v>236280</v>
      </c>
      <c r="P11" s="18">
        <f>VLOOKUP(B11,'Data BNF'!B$11:BN$113,23,0)</f>
        <v>842360</v>
      </c>
      <c r="Q11" s="17">
        <f>VLOOKUP(B11,'Data BNF'!B$11:BN$113,21,0)</f>
        <v>160577</v>
      </c>
      <c r="R11" s="16" t="str">
        <f t="shared" si="4"/>
        <v>DOWN</v>
      </c>
      <c r="S11" s="20" t="str">
        <f t="shared" si="4"/>
        <v>UP</v>
      </c>
      <c r="T11" s="21" t="str">
        <f t="shared" si="5"/>
        <v>Short Buildup</v>
      </c>
      <c r="U11" s="2"/>
    </row>
    <row r="12" spans="1:21">
      <c r="A12" s="56" t="str">
        <f t="shared" si="0"/>
        <v>CE22300</v>
      </c>
      <c r="B12" s="56" t="str">
        <f t="shared" si="1"/>
        <v>PE22300</v>
      </c>
      <c r="C12" s="2"/>
      <c r="D12" s="14" t="str">
        <f t="shared" si="2"/>
        <v>Short Buildup</v>
      </c>
      <c r="E12" s="15" t="str">
        <f t="shared" si="3"/>
        <v>UP</v>
      </c>
      <c r="F12" s="16" t="str">
        <f t="shared" si="3"/>
        <v>DOWN</v>
      </c>
      <c r="G12" s="17">
        <f>VLOOKUP(A12,'Data BNF'!A$11:AZ$113,6,0)</f>
        <v>1671</v>
      </c>
      <c r="H12" s="18">
        <f>VLOOKUP(A12,'Data BNF'!A$11:AZ$113,4,0)</f>
        <v>37120</v>
      </c>
      <c r="I12" s="64">
        <f>VLOOKUP(A12,'Data BNF'!A$11:AZ$113,5,0)</f>
        <v>22720</v>
      </c>
      <c r="J12" s="16">
        <f>VLOOKUP(A12,'Data BNF'!A$11:AZ$113,9,0)</f>
        <v>-59.6</v>
      </c>
      <c r="K12" s="16">
        <f>VLOOKUP(A12,'Data BNF'!A$11:AZ$113,8,0)</f>
        <v>230.1</v>
      </c>
      <c r="L12" s="19">
        <f>L14-200</f>
        <v>22300</v>
      </c>
      <c r="M12" s="16">
        <f>VLOOKUP(B12,'Data BNF'!B$11:BN$113,19,0)</f>
        <v>13.8</v>
      </c>
      <c r="N12" s="16">
        <f>VLOOKUP(B12,'Data BNF'!B$11:BN$113,18,0)</f>
        <v>-27.4</v>
      </c>
      <c r="O12" s="64">
        <f>VLOOKUP(B12,'Data BNF'!B$11:BN$113,22,0)</f>
        <v>134320</v>
      </c>
      <c r="P12" s="18">
        <f>VLOOKUP(B12,'Data BNF'!B$11:BN$113,23,0)</f>
        <v>428120</v>
      </c>
      <c r="Q12" s="17">
        <f>VLOOKUP(B12,'Data BNF'!B$11:BN$113,21,0)</f>
        <v>198592</v>
      </c>
      <c r="R12" s="16" t="str">
        <f t="shared" si="4"/>
        <v>DOWN</v>
      </c>
      <c r="S12" s="20" t="str">
        <f t="shared" si="4"/>
        <v>UP</v>
      </c>
      <c r="T12" s="21" t="str">
        <f t="shared" si="5"/>
        <v>Short Buildup</v>
      </c>
      <c r="U12" s="2"/>
    </row>
    <row r="13" spans="1:21">
      <c r="A13" s="56" t="str">
        <f t="shared" si="0"/>
        <v>CE22400</v>
      </c>
      <c r="B13" s="56" t="str">
        <f t="shared" si="1"/>
        <v>PE22400</v>
      </c>
      <c r="C13" s="2"/>
      <c r="D13" s="14" t="str">
        <f t="shared" si="2"/>
        <v>Short Buildup</v>
      </c>
      <c r="E13" s="15" t="str">
        <f t="shared" si="3"/>
        <v>UP</v>
      </c>
      <c r="F13" s="16" t="str">
        <f t="shared" si="3"/>
        <v>DOWN</v>
      </c>
      <c r="G13" s="17">
        <f>VLOOKUP(A13,'Data BNF'!A$11:AZ$113,6,0)</f>
        <v>10011</v>
      </c>
      <c r="H13" s="18">
        <f>VLOOKUP(A13,'Data BNF'!A$11:AZ$113,4,0)</f>
        <v>69600</v>
      </c>
      <c r="I13" s="64">
        <f>VLOOKUP(A13,'Data BNF'!A$11:AZ$113,5,0)</f>
        <v>43440</v>
      </c>
      <c r="J13" s="16">
        <f>VLOOKUP(A13,'Data BNF'!A$11:AZ$113,9,0)</f>
        <v>-66.400000000000006</v>
      </c>
      <c r="K13" s="16">
        <f>VLOOKUP(A13,'Data BNF'!A$11:AZ$113,8,0)</f>
        <v>156.9</v>
      </c>
      <c r="L13" s="19">
        <f>L14-100</f>
        <v>22400</v>
      </c>
      <c r="M13" s="16">
        <f>VLOOKUP(B13,'Data BNF'!B$11:BN$113,19,0)</f>
        <v>29</v>
      </c>
      <c r="N13" s="16">
        <f>VLOOKUP(B13,'Data BNF'!B$11:BN$113,18,0)</f>
        <v>-30.35</v>
      </c>
      <c r="O13" s="64">
        <f>VLOOKUP(B13,'Data BNF'!B$11:BN$113,22,0)</f>
        <v>6760</v>
      </c>
      <c r="P13" s="18">
        <f>VLOOKUP(B13,'Data BNF'!B$11:BN$113,23,0)</f>
        <v>374960</v>
      </c>
      <c r="Q13" s="17">
        <f>VLOOKUP(B13,'Data BNF'!B$11:BN$113,21,0)</f>
        <v>214419</v>
      </c>
      <c r="R13" s="16" t="str">
        <f t="shared" si="4"/>
        <v>DOWN</v>
      </c>
      <c r="S13" s="20" t="str">
        <f t="shared" si="4"/>
        <v>UP</v>
      </c>
      <c r="T13" s="21" t="str">
        <f t="shared" si="5"/>
        <v>Short Buildup</v>
      </c>
      <c r="U13" s="2"/>
    </row>
    <row r="14" spans="1:21" ht="15">
      <c r="A14" s="56" t="str">
        <f t="shared" si="0"/>
        <v>CE22500</v>
      </c>
      <c r="B14" s="56" t="str">
        <f t="shared" si="1"/>
        <v>PE22500</v>
      </c>
      <c r="C14" s="2"/>
      <c r="D14" s="14" t="str">
        <f t="shared" si="2"/>
        <v>Short Buildup</v>
      </c>
      <c r="E14" s="15" t="str">
        <f t="shared" si="3"/>
        <v>UP</v>
      </c>
      <c r="F14" s="16" t="str">
        <f t="shared" si="3"/>
        <v>DOWN</v>
      </c>
      <c r="G14" s="17">
        <f>VLOOKUP(A14,'Data BNF'!A$11:AZ$113,6,0)</f>
        <v>99310</v>
      </c>
      <c r="H14" s="18">
        <f>VLOOKUP(A14,'Data BNF'!A$11:AZ$113,4,0)</f>
        <v>644120</v>
      </c>
      <c r="I14" s="64">
        <f>VLOOKUP(A14,'Data BNF'!A$11:AZ$113,5,0)</f>
        <v>339840</v>
      </c>
      <c r="J14" s="16">
        <f>VLOOKUP(A14,'Data BNF'!A$11:AZ$113,9,0)</f>
        <v>-63.4</v>
      </c>
      <c r="K14" s="16">
        <f>VLOOKUP(A14,'Data BNF'!A$11:AZ$113,8,0)</f>
        <v>92.4</v>
      </c>
      <c r="L14" s="22">
        <f>'Data BNF'!A5</f>
        <v>22500</v>
      </c>
      <c r="M14" s="16">
        <f>VLOOKUP(B14,'Data BNF'!B$11:BN$113,19,0)</f>
        <v>57.05</v>
      </c>
      <c r="N14" s="16">
        <f>VLOOKUP(B14,'Data BNF'!B$11:BN$113,18,0)</f>
        <v>-32</v>
      </c>
      <c r="O14" s="64">
        <f>VLOOKUP(B14,'Data BNF'!B$11:BN$113,22,0)</f>
        <v>1960</v>
      </c>
      <c r="P14" s="18">
        <f>VLOOKUP(B14,'Data BNF'!B$11:BN$113,23,0)</f>
        <v>967840</v>
      </c>
      <c r="Q14" s="17">
        <f>VLOOKUP(B14,'Data BNF'!B$11:BN$113,21,0)</f>
        <v>267640</v>
      </c>
      <c r="R14" s="16" t="str">
        <f t="shared" si="4"/>
        <v>DOWN</v>
      </c>
      <c r="S14" s="20" t="str">
        <f t="shared" si="4"/>
        <v>UP</v>
      </c>
      <c r="T14" s="21" t="str">
        <f t="shared" si="5"/>
        <v>Short Buildup</v>
      </c>
      <c r="U14" s="2"/>
    </row>
    <row r="15" spans="1:21">
      <c r="A15" s="56" t="str">
        <f t="shared" si="0"/>
        <v>CE22600</v>
      </c>
      <c r="B15" s="56" t="str">
        <f t="shared" si="1"/>
        <v>PE22600</v>
      </c>
      <c r="C15" s="2"/>
      <c r="D15" s="14" t="str">
        <f t="shared" si="2"/>
        <v>Short Buildup</v>
      </c>
      <c r="E15" s="15" t="str">
        <f t="shared" si="3"/>
        <v>UP</v>
      </c>
      <c r="F15" s="16" t="str">
        <f t="shared" si="3"/>
        <v>DOWN</v>
      </c>
      <c r="G15" s="17">
        <f>VLOOKUP(A15,'Data BNF'!A$11:AZ$113,6,0)</f>
        <v>232727</v>
      </c>
      <c r="H15" s="18">
        <f>VLOOKUP(A15,'Data BNF'!A$11:AZ$113,4,0)</f>
        <v>494320</v>
      </c>
      <c r="I15" s="64">
        <f>VLOOKUP(A15,'Data BNF'!A$11:AZ$113,5,0)</f>
        <v>24280</v>
      </c>
      <c r="J15" s="16">
        <f>VLOOKUP(A15,'Data BNF'!A$11:AZ$113,9,0)</f>
        <v>-54.05</v>
      </c>
      <c r="K15" s="16">
        <f>VLOOKUP(A15,'Data BNF'!A$11:AZ$113,8,0)</f>
        <v>45.7</v>
      </c>
      <c r="L15" s="19">
        <f t="shared" ref="L15:L21" si="6">L14+100</f>
        <v>22600</v>
      </c>
      <c r="M15" s="16">
        <f>VLOOKUP(B15,'Data BNF'!B$11:BN$113,19,0)</f>
        <v>104</v>
      </c>
      <c r="N15" s="16">
        <f>VLOOKUP(B15,'Data BNF'!B$11:BN$113,18,0)</f>
        <v>-24.25</v>
      </c>
      <c r="O15" s="64">
        <f>VLOOKUP(B15,'Data BNF'!B$11:BN$113,22,0)</f>
        <v>-82720</v>
      </c>
      <c r="P15" s="18">
        <f>VLOOKUP(B15,'Data BNF'!B$11:BN$113,23,0)</f>
        <v>268000</v>
      </c>
      <c r="Q15" s="17">
        <f>VLOOKUP(B15,'Data BNF'!B$11:BN$113,21,0)</f>
        <v>166186</v>
      </c>
      <c r="R15" s="16" t="str">
        <f t="shared" si="4"/>
        <v>DOWN</v>
      </c>
      <c r="S15" s="20" t="str">
        <f t="shared" si="4"/>
        <v>DOWN</v>
      </c>
      <c r="T15" s="21" t="str">
        <f t="shared" si="5"/>
        <v>Long Liquidation</v>
      </c>
      <c r="U15" s="2"/>
    </row>
    <row r="16" spans="1:21">
      <c r="A16" s="56" t="str">
        <f t="shared" si="0"/>
        <v>CE22700</v>
      </c>
      <c r="B16" s="56" t="str">
        <f t="shared" si="1"/>
        <v>PE22700</v>
      </c>
      <c r="C16" s="2"/>
      <c r="D16" s="14" t="str">
        <f t="shared" si="2"/>
        <v>Short Buildup</v>
      </c>
      <c r="E16" s="15" t="str">
        <f t="shared" si="3"/>
        <v>UP</v>
      </c>
      <c r="F16" s="16" t="str">
        <f t="shared" si="3"/>
        <v>DOWN</v>
      </c>
      <c r="G16" s="17">
        <f>VLOOKUP(A16,'Data BNF'!A$11:AZ$113,6,0)</f>
        <v>271478</v>
      </c>
      <c r="H16" s="18">
        <f>VLOOKUP(A16,'Data BNF'!A$11:AZ$113,4,0)</f>
        <v>621480</v>
      </c>
      <c r="I16" s="64">
        <f>VLOOKUP(A16,'Data BNF'!A$11:AZ$113,5,0)</f>
        <v>164360</v>
      </c>
      <c r="J16" s="16">
        <f>VLOOKUP(A16,'Data BNF'!A$11:AZ$113,9,0)</f>
        <v>-44.9</v>
      </c>
      <c r="K16" s="16">
        <f>VLOOKUP(A16,'Data BNF'!A$11:AZ$113,8,0)</f>
        <v>17.5</v>
      </c>
      <c r="L16" s="19">
        <f t="shared" si="6"/>
        <v>22700</v>
      </c>
      <c r="M16" s="16">
        <f>VLOOKUP(B16,'Data BNF'!B$11:BN$113,19,0)</f>
        <v>166</v>
      </c>
      <c r="N16" s="16">
        <f>VLOOKUP(B16,'Data BNF'!B$11:BN$113,18,0)</f>
        <v>-15.8</v>
      </c>
      <c r="O16" s="64">
        <f>VLOOKUP(B16,'Data BNF'!B$11:BN$113,22,0)</f>
        <v>-61960</v>
      </c>
      <c r="P16" s="18">
        <f>VLOOKUP(B16,'Data BNF'!B$11:BN$113,23,0)</f>
        <v>170720</v>
      </c>
      <c r="Q16" s="17">
        <f>VLOOKUP(B16,'Data BNF'!B$11:BN$113,21,0)</f>
        <v>46869</v>
      </c>
      <c r="R16" s="16" t="str">
        <f t="shared" si="4"/>
        <v>DOWN</v>
      </c>
      <c r="S16" s="20" t="str">
        <f t="shared" si="4"/>
        <v>DOWN</v>
      </c>
      <c r="T16" s="21" t="str">
        <f t="shared" si="5"/>
        <v>Long Liquidation</v>
      </c>
      <c r="U16" s="2"/>
    </row>
    <row r="17" spans="1:21">
      <c r="A17" s="56" t="str">
        <f t="shared" si="0"/>
        <v>CE22800</v>
      </c>
      <c r="B17" s="56" t="str">
        <f t="shared" si="1"/>
        <v>PE22800</v>
      </c>
      <c r="C17" s="2"/>
      <c r="D17" s="14" t="str">
        <f t="shared" si="2"/>
        <v>Short Buildup</v>
      </c>
      <c r="E17" s="15" t="str">
        <f t="shared" si="3"/>
        <v>UP</v>
      </c>
      <c r="F17" s="16" t="str">
        <f t="shared" si="3"/>
        <v>DOWN</v>
      </c>
      <c r="G17" s="17">
        <f>VLOOKUP(A17,'Data BNF'!A$11:AZ$113,6,0)</f>
        <v>212067</v>
      </c>
      <c r="H17" s="18">
        <f>VLOOKUP(A17,'Data BNF'!A$11:AZ$113,4,0)</f>
        <v>762600</v>
      </c>
      <c r="I17" s="64">
        <f>VLOOKUP(A17,'Data BNF'!A$11:AZ$113,5,0)</f>
        <v>144200</v>
      </c>
      <c r="J17" s="16">
        <f>VLOOKUP(A17,'Data BNF'!A$11:AZ$113,9,0)</f>
        <v>-29.95</v>
      </c>
      <c r="K17" s="16">
        <f>VLOOKUP(A17,'Data BNF'!A$11:AZ$113,8,0)</f>
        <v>6.35</v>
      </c>
      <c r="L17" s="19">
        <f t="shared" si="6"/>
        <v>22800</v>
      </c>
      <c r="M17" s="16">
        <f>VLOOKUP(B17,'Data BNF'!B$11:BN$113,19,0)</f>
        <v>252</v>
      </c>
      <c r="N17" s="16">
        <f>VLOOKUP(B17,'Data BNF'!B$11:BN$113,18,0)</f>
        <v>-0.55000000000000004</v>
      </c>
      <c r="O17" s="64">
        <f>VLOOKUP(B17,'Data BNF'!B$11:BN$113,22,0)</f>
        <v>-47440</v>
      </c>
      <c r="P17" s="18">
        <f>VLOOKUP(B17,'Data BNF'!B$11:BN$113,23,0)</f>
        <v>103040</v>
      </c>
      <c r="Q17" s="17">
        <f>VLOOKUP(B17,'Data BNF'!B$11:BN$113,21,0)</f>
        <v>8470</v>
      </c>
      <c r="R17" s="16" t="str">
        <f t="shared" si="4"/>
        <v>DOWN</v>
      </c>
      <c r="S17" s="20" t="str">
        <f t="shared" si="4"/>
        <v>DOWN</v>
      </c>
      <c r="T17" s="21" t="str">
        <f t="shared" si="5"/>
        <v>Long Liquidation</v>
      </c>
      <c r="U17" s="2"/>
    </row>
    <row r="18" spans="1:21">
      <c r="A18" s="56" t="str">
        <f t="shared" si="0"/>
        <v>CE22900</v>
      </c>
      <c r="B18" s="56" t="str">
        <f t="shared" si="1"/>
        <v>PE22900</v>
      </c>
      <c r="C18" s="2"/>
      <c r="D18" s="14" t="str">
        <f t="shared" si="2"/>
        <v>Long Liquidation</v>
      </c>
      <c r="E18" s="15" t="str">
        <f t="shared" si="3"/>
        <v>DOWN</v>
      </c>
      <c r="F18" s="16" t="str">
        <f t="shared" si="3"/>
        <v>DOWN</v>
      </c>
      <c r="G18" s="17">
        <f>VLOOKUP(A18,'Data BNF'!A$11:AZ$113,6,0)</f>
        <v>145319</v>
      </c>
      <c r="H18" s="18">
        <f>VLOOKUP(A18,'Data BNF'!A$11:AZ$113,4,0)</f>
        <v>583080</v>
      </c>
      <c r="I18" s="64">
        <f>VLOOKUP(A18,'Data BNF'!A$11:AZ$113,5,0)</f>
        <v>-185040</v>
      </c>
      <c r="J18" s="16">
        <f>VLOOKUP(A18,'Data BNF'!A$11:AZ$113,9,0)</f>
        <v>-15.85</v>
      </c>
      <c r="K18" s="16">
        <f>VLOOKUP(A18,'Data BNF'!A$11:AZ$113,8,0)</f>
        <v>3.45</v>
      </c>
      <c r="L18" s="19">
        <f t="shared" si="6"/>
        <v>22900</v>
      </c>
      <c r="M18" s="16">
        <f>VLOOKUP(B18,'Data BNF'!B$11:BN$113,19,0)</f>
        <v>344.1</v>
      </c>
      <c r="N18" s="16">
        <f>VLOOKUP(B18,'Data BNF'!B$11:BN$113,18,0)</f>
        <v>8.4</v>
      </c>
      <c r="O18" s="64">
        <f>VLOOKUP(B18,'Data BNF'!B$11:BN$113,22,0)</f>
        <v>-15720</v>
      </c>
      <c r="P18" s="18">
        <f>VLOOKUP(B18,'Data BNF'!B$11:BN$113,23,0)</f>
        <v>72880</v>
      </c>
      <c r="Q18" s="17">
        <f>VLOOKUP(B18,'Data BNF'!B$11:BN$113,21,0)</f>
        <v>1987</v>
      </c>
      <c r="R18" s="16" t="str">
        <f t="shared" si="4"/>
        <v>UP</v>
      </c>
      <c r="S18" s="20" t="str">
        <f t="shared" si="4"/>
        <v>DOWN</v>
      </c>
      <c r="T18" s="21" t="str">
        <f t="shared" si="5"/>
        <v>Short covering</v>
      </c>
      <c r="U18" s="2"/>
    </row>
    <row r="19" spans="1:21">
      <c r="A19" s="56" t="str">
        <f t="shared" si="0"/>
        <v>CE23000</v>
      </c>
      <c r="B19" s="56" t="str">
        <f t="shared" si="1"/>
        <v>PE23000</v>
      </c>
      <c r="C19" s="2"/>
      <c r="D19" s="14" t="str">
        <f t="shared" si="2"/>
        <v>Long Liquidation</v>
      </c>
      <c r="E19" s="15" t="str">
        <f t="shared" si="3"/>
        <v>DOWN</v>
      </c>
      <c r="F19" s="16" t="str">
        <f t="shared" si="3"/>
        <v>DOWN</v>
      </c>
      <c r="G19" s="17">
        <f>VLOOKUP(A19,'Data BNF'!A$11:AZ$113,6,0)</f>
        <v>130317</v>
      </c>
      <c r="H19" s="18">
        <f>VLOOKUP(A19,'Data BNF'!A$11:AZ$113,4,0)</f>
        <v>1081880</v>
      </c>
      <c r="I19" s="64">
        <f>VLOOKUP(A19,'Data BNF'!A$11:AZ$113,5,0)</f>
        <v>-143720</v>
      </c>
      <c r="J19" s="16">
        <f>VLOOKUP(A19,'Data BNF'!A$11:AZ$113,9,0)</f>
        <v>-8.9499999999999993</v>
      </c>
      <c r="K19" s="16">
        <f>VLOOKUP(A19,'Data BNF'!A$11:AZ$113,8,0)</f>
        <v>2.0499999999999998</v>
      </c>
      <c r="L19" s="19">
        <f t="shared" si="6"/>
        <v>23000</v>
      </c>
      <c r="M19" s="16">
        <f>VLOOKUP(B19,'Data BNF'!B$11:BN$113,19,0)</f>
        <v>438</v>
      </c>
      <c r="N19" s="16">
        <f>VLOOKUP(B19,'Data BNF'!B$11:BN$113,18,0)</f>
        <v>19.649999999999999</v>
      </c>
      <c r="O19" s="64">
        <f>VLOOKUP(B19,'Data BNF'!B$11:BN$113,22,0)</f>
        <v>-38200</v>
      </c>
      <c r="P19" s="18">
        <f>VLOOKUP(B19,'Data BNF'!B$11:BN$113,23,0)</f>
        <v>106880</v>
      </c>
      <c r="Q19" s="17">
        <f>VLOOKUP(B19,'Data BNF'!B$11:BN$113,21,0)</f>
        <v>3793</v>
      </c>
      <c r="R19" s="16" t="str">
        <f t="shared" si="4"/>
        <v>UP</v>
      </c>
      <c r="S19" s="20" t="str">
        <f t="shared" si="4"/>
        <v>DOWN</v>
      </c>
      <c r="T19" s="21" t="str">
        <f t="shared" si="5"/>
        <v>Short covering</v>
      </c>
      <c r="U19" s="2"/>
    </row>
    <row r="20" spans="1:21">
      <c r="A20" s="56" t="str">
        <f t="shared" si="0"/>
        <v>CE23100</v>
      </c>
      <c r="B20" s="56" t="str">
        <f t="shared" si="1"/>
        <v>PE23100</v>
      </c>
      <c r="C20" s="2"/>
      <c r="D20" s="14" t="str">
        <f t="shared" si="2"/>
        <v>Long Liquidation</v>
      </c>
      <c r="E20" s="15" t="str">
        <f t="shared" si="3"/>
        <v>DOWN</v>
      </c>
      <c r="F20" s="16" t="str">
        <f t="shared" si="3"/>
        <v>DOWN</v>
      </c>
      <c r="G20" s="17">
        <f>VLOOKUP(A20,'Data BNF'!A$11:AZ$113,6,0)</f>
        <v>41873</v>
      </c>
      <c r="H20" s="18">
        <f>VLOOKUP(A20,'Data BNF'!A$11:AZ$113,4,0)</f>
        <v>274520</v>
      </c>
      <c r="I20" s="64">
        <f>VLOOKUP(A20,'Data BNF'!A$11:AZ$113,5,0)</f>
        <v>-140040</v>
      </c>
      <c r="J20" s="16">
        <f>VLOOKUP(A20,'Data BNF'!A$11:AZ$113,9,0)</f>
        <v>-4.5</v>
      </c>
      <c r="K20" s="16">
        <f>VLOOKUP(A20,'Data BNF'!A$11:AZ$113,8,0)</f>
        <v>1.6</v>
      </c>
      <c r="L20" s="19">
        <f t="shared" si="6"/>
        <v>23100</v>
      </c>
      <c r="M20" s="16">
        <f>VLOOKUP(B20,'Data BNF'!B$11:BN$113,19,0)</f>
        <v>558.45000000000005</v>
      </c>
      <c r="N20" s="16">
        <f>VLOOKUP(B20,'Data BNF'!B$11:BN$113,18,0)</f>
        <v>31.6</v>
      </c>
      <c r="O20" s="64">
        <f>VLOOKUP(B20,'Data BNF'!B$11:BN$113,22,0)</f>
        <v>-1800</v>
      </c>
      <c r="P20" s="18">
        <f>VLOOKUP(B20,'Data BNF'!B$11:BN$113,23,0)</f>
        <v>4360</v>
      </c>
      <c r="Q20" s="17">
        <f>VLOOKUP(B20,'Data BNF'!B$11:BN$113,21,0)</f>
        <v>235</v>
      </c>
      <c r="R20" s="16" t="str">
        <f t="shared" si="4"/>
        <v>UP</v>
      </c>
      <c r="S20" s="20" t="str">
        <f t="shared" si="4"/>
        <v>DOWN</v>
      </c>
      <c r="T20" s="21" t="str">
        <f t="shared" si="5"/>
        <v>Short covering</v>
      </c>
      <c r="U20" s="2"/>
    </row>
    <row r="21" spans="1:21">
      <c r="A21" s="56" t="str">
        <f t="shared" si="0"/>
        <v>CE23200</v>
      </c>
      <c r="B21" s="56" t="str">
        <f t="shared" si="1"/>
        <v>PE23200</v>
      </c>
      <c r="C21" s="2"/>
      <c r="D21" s="14" t="str">
        <f>IF(AND(J21&lt;0,I21&lt;0),"Long Liquidation",IF(AND(J21&lt;0,I21&gt;0),"Short Buildup",IF(AND(J21&gt;0,I21&gt;0),"Long Buildup",IF(AND(J21&gt;0,I21&lt;0),"Short covering"))))</f>
        <v>Long Liquidation</v>
      </c>
      <c r="E21" s="15" t="str">
        <f>IF(I21&gt;0,"UP","DOWN")</f>
        <v>DOWN</v>
      </c>
      <c r="F21" s="16" t="str">
        <f>IF(J21&gt;0,"UP","DOWN")</f>
        <v>DOWN</v>
      </c>
      <c r="G21" s="17">
        <f>VLOOKUP(A21,'Data BNF'!A$11:AZ$113,6,0)</f>
        <v>17590</v>
      </c>
      <c r="H21" s="18">
        <f>VLOOKUP(A21,'Data BNF'!A$11:AZ$113,4,0)</f>
        <v>311360</v>
      </c>
      <c r="I21" s="64">
        <f>VLOOKUP(A21,'Data BNF'!A$11:AZ$113,5,0)</f>
        <v>-83320</v>
      </c>
      <c r="J21" s="16">
        <f>VLOOKUP(A21,'Data BNF'!A$11:AZ$113,9,0)</f>
        <v>-2.7</v>
      </c>
      <c r="K21" s="16">
        <f>VLOOKUP(A21,'Data BNF'!A$11:AZ$113,8,0)</f>
        <v>1</v>
      </c>
      <c r="L21" s="19">
        <f t="shared" si="6"/>
        <v>23200</v>
      </c>
      <c r="M21" s="16">
        <f>VLOOKUP(B21,'Data BNF'!B$11:BN$113,19,0)</f>
        <v>657.4</v>
      </c>
      <c r="N21" s="16">
        <f>VLOOKUP(B21,'Data BNF'!B$11:BN$113,18,0)</f>
        <v>33.65</v>
      </c>
      <c r="O21" s="64">
        <f>VLOOKUP(B21,'Data BNF'!B$11:BN$113,22,0)</f>
        <v>-80</v>
      </c>
      <c r="P21" s="18">
        <f>VLOOKUP(B21,'Data BNF'!B$11:BN$113,23,0)</f>
        <v>1800</v>
      </c>
      <c r="Q21" s="17">
        <f>VLOOKUP(B21,'Data BNF'!B$11:BN$113,21,0)</f>
        <v>12</v>
      </c>
      <c r="R21" s="16" t="str">
        <f t="shared" si="4"/>
        <v>UP</v>
      </c>
      <c r="S21" s="20" t="str">
        <f t="shared" si="4"/>
        <v>DOWN</v>
      </c>
      <c r="T21" s="21" t="str">
        <f t="shared" si="5"/>
        <v>Short covering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89" t="s">
        <v>0</v>
      </c>
      <c r="F75" s="89"/>
      <c r="G75" s="89"/>
      <c r="H75" s="89"/>
      <c r="I75" s="2"/>
      <c r="J75" s="2"/>
      <c r="K75" s="2"/>
      <c r="L75" s="2"/>
      <c r="M75" s="2"/>
      <c r="N75" s="3"/>
      <c r="O75" s="89" t="s">
        <v>1</v>
      </c>
      <c r="P75" s="89"/>
      <c r="Q75" s="89"/>
      <c r="R75" s="8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21800</v>
      </c>
      <c r="G94" s="60">
        <f>L8</f>
        <v>21900</v>
      </c>
      <c r="H94" s="60">
        <f>L9</f>
        <v>22000</v>
      </c>
      <c r="I94" s="60">
        <f>L10</f>
        <v>22100</v>
      </c>
      <c r="J94" s="61">
        <f>L11</f>
        <v>22200</v>
      </c>
      <c r="K94" s="60">
        <f>L12</f>
        <v>22300</v>
      </c>
      <c r="L94" s="60">
        <f>L13</f>
        <v>22400</v>
      </c>
      <c r="M94" s="61">
        <f>L14</f>
        <v>22500</v>
      </c>
      <c r="N94" s="60">
        <f>L15</f>
        <v>22600</v>
      </c>
      <c r="O94" s="62">
        <f>L16</f>
        <v>22700</v>
      </c>
      <c r="P94" s="60">
        <f>L17</f>
        <v>22800</v>
      </c>
      <c r="Q94" s="61">
        <f>L18</f>
        <v>22900</v>
      </c>
      <c r="R94" s="60">
        <f>L19</f>
        <v>23000</v>
      </c>
      <c r="S94" s="62">
        <f>L20</f>
        <v>23100</v>
      </c>
      <c r="T94" s="8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SELL</v>
      </c>
      <c r="L95" s="43" t="str">
        <f>IF(I13&lt;G13,"BUY","SELL")</f>
        <v>SELL</v>
      </c>
      <c r="M95" s="45" t="str">
        <f>IF(I14&lt;G14,"BUY","SELL")</f>
        <v>SELL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8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BUY</v>
      </c>
      <c r="H96" s="50" t="str">
        <f>IF(O9&lt;Q9,"BUY","SELL")</f>
        <v>BUY</v>
      </c>
      <c r="I96" s="50" t="str">
        <f>IF(O10&lt;Q10,"BUY","SELL")</f>
        <v>BUY</v>
      </c>
      <c r="J96" s="51" t="str">
        <f>IF(O11&lt;Q11,"BUY","SELL")</f>
        <v>SELL</v>
      </c>
      <c r="K96" s="50" t="str">
        <f>IF(O12&lt;Q12,"BUY","SELL")</f>
        <v>BUY</v>
      </c>
      <c r="L96" s="50" t="str">
        <f>IF(O13&lt;Q13,"BUY","SELL")</f>
        <v>BUY</v>
      </c>
      <c r="M96" s="52" t="str">
        <f>IF(O14&lt;Q14,"BUY","SELL")</f>
        <v>BUY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BUY</v>
      </c>
      <c r="Q96" s="54" t="str">
        <f>IF(O18&lt;Q18,"BUY","SELL")</f>
        <v>BUY</v>
      </c>
      <c r="R96" s="53" t="str">
        <f>IF(O19&lt;Q19,"BUY","SELL")</f>
        <v>BUY</v>
      </c>
      <c r="S96" s="53" t="str">
        <f>IF(O20&lt;Q20,"BUY","SELL")</f>
        <v>BUY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mergeCells count="6">
    <mergeCell ref="T94:T95"/>
    <mergeCell ref="Q1:S1"/>
    <mergeCell ref="D4:K4"/>
    <mergeCell ref="M4:T4"/>
    <mergeCell ref="E75:H75"/>
    <mergeCell ref="O75:R75"/>
  </mergeCells>
  <conditionalFormatting sqref="T6:T21 D6:D21">
    <cfRule type="containsText" dxfId="16" priority="5" operator="containsText" text="Short Buildup">
      <formula>NOT(ISERROR(SEARCH("Short Buildup",D6)))</formula>
    </cfRule>
    <cfRule type="containsText" dxfId="15" priority="6" operator="containsText" text="Long Liquidation">
      <formula>NOT(ISERROR(SEARCH("Long Liquidation",D6)))</formula>
    </cfRule>
    <cfRule type="containsText" dxfId="14" priority="7" operator="containsText" text="Short covering">
      <formula>NOT(ISERROR(SEARCH("Short covering",D6)))</formula>
    </cfRule>
    <cfRule type="containsText" dxfId="13" priority="8" operator="containsText" text="Long Buildup">
      <formula>NOT(ISERROR(SEARCH("Long Buildup",D6)))</formula>
    </cfRule>
  </conditionalFormatting>
  <conditionalFormatting sqref="R6:S21 E6:F21">
    <cfRule type="containsText" dxfId="12" priority="4" operator="containsText" text="DOWN">
      <formula>NOT(ISERROR(SEARCH("DOWN",E6)))</formula>
    </cfRule>
  </conditionalFormatting>
  <conditionalFormatting sqref="R6:S21 E6:F21">
    <cfRule type="containsText" dxfId="11" priority="3" operator="containsText" text="UP">
      <formula>NOT(ISERROR(SEARCH("UP",E6)))</formula>
    </cfRule>
  </conditionalFormatting>
  <conditionalFormatting sqref="F95:S96">
    <cfRule type="containsText" dxfId="10" priority="1" operator="containsText" text="SELL">
      <formula>NOT(ISERROR(SEARCH("SELL",F95)))</formula>
    </cfRule>
    <cfRule type="containsText" dxfId="9" priority="2" operator="containsText" text="BUY">
      <formula>NOT(ISERROR(SEARCH("BUY",F95)))</formula>
    </cfRule>
  </conditionalFormatting>
  <conditionalFormatting sqref="J6:J21">
    <cfRule type="colorScale" priority="9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">
      <dataBar>
        <cfvo type="min"/>
        <cfvo type="max"/>
        <color rgb="FFFF555A"/>
      </dataBar>
    </cfRule>
  </conditionalFormatting>
  <conditionalFormatting sqref="G6:G21">
    <cfRule type="dataBar" priority="12">
      <dataBar>
        <cfvo type="min"/>
        <cfvo type="max"/>
        <color rgb="FFFF555A"/>
      </dataBar>
    </cfRule>
  </conditionalFormatting>
  <conditionalFormatting sqref="H6:H21">
    <cfRule type="top10" dxfId="8" priority="13" rank="1"/>
  </conditionalFormatting>
  <conditionalFormatting sqref="P6:P21">
    <cfRule type="top10" dxfId="7" priority="14" rank="1"/>
  </conditionalFormatting>
  <conditionalFormatting sqref="I6:I21 O6:O21">
    <cfRule type="cellIs" dxfId="6" priority="15" operator="equal">
      <formula>$H$165</formula>
    </cfRule>
  </conditionalFormatting>
  <conditionalFormatting sqref="O6:O21">
    <cfRule type="cellIs" dxfId="5" priority="16" operator="equal">
      <formula>$J$165</formula>
    </cfRule>
  </conditionalFormatting>
  <conditionalFormatting sqref="I6:I21">
    <cfRule type="top10" dxfId="4" priority="17" rank="1"/>
    <cfRule type="cellIs" dxfId="3" priority="18" operator="equal">
      <formula>$H$163</formula>
    </cfRule>
  </conditionalFormatting>
  <conditionalFormatting sqref="I6:I21 O6:O21">
    <cfRule type="cellIs" dxfId="2" priority="19" operator="equal">
      <formula>$F$158</formula>
    </cfRule>
  </conditionalFormatting>
  <conditionalFormatting sqref="O6:O21">
    <cfRule type="top10" dxfId="1" priority="20" rank="1"/>
    <cfRule type="cellIs" dxfId="0" priority="21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PAIN Nifty</vt:lpstr>
      <vt:lpstr>PAIN BNF</vt:lpstr>
      <vt:lpstr>Data Nifty</vt:lpstr>
      <vt:lpstr>MAIN OI</vt:lpstr>
      <vt:lpstr>Data BNF</vt:lpstr>
      <vt:lpstr>MAIN OI BNF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2017-12-19T11:59:51Z</dcterms:modified>
</cp:coreProperties>
</file>