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n\Downloads\"/>
    </mc:Choice>
  </mc:AlternateContent>
  <xr:revisionPtr revIDLastSave="0" documentId="13_ncr:1_{A04662D5-4AD9-43A0-A415-20B69CDC6C6B}" xr6:coauthVersionLast="47" xr6:coauthVersionMax="47" xr10:uidLastSave="{00000000-0000-0000-0000-000000000000}"/>
  <bookViews>
    <workbookView xWindow="-120" yWindow="-120" windowWidth="20730" windowHeight="11040" firstSheet="8" activeTab="8" xr2:uid="{00000000-000D-0000-FFFF-FFFF00000000}"/>
  </bookViews>
  <sheets>
    <sheet name="Profit &amp; Loss" sheetId="1" r:id="rId1"/>
    <sheet name="VALUATION" sheetId="9" r:id="rId2"/>
    <sheet name="Quarters" sheetId="3" r:id="rId3"/>
    <sheet name="RCi" sheetId="12" r:id="rId4"/>
    <sheet name="Balance Sheet" sheetId="2" r:id="rId5"/>
    <sheet name="PL" sheetId="7" r:id="rId6"/>
    <sheet name="Valuation " sheetId="11" r:id="rId7"/>
    <sheet name="Portfolio mangment " sheetId="13" r:id="rId8"/>
    <sheet name="FF(financial formulas)" sheetId="14" r:id="rId9"/>
    <sheet name="BS" sheetId="8" r:id="rId10"/>
    <sheet name="Cash Flow" sheetId="4" r:id="rId11"/>
    <sheet name="Customization" sheetId="5" r:id="rId12"/>
    <sheet name="Data Sheet" sheetId="6" r:id="rId13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3" i="14" l="1"/>
  <c r="L60" i="14"/>
  <c r="O19" i="5"/>
  <c r="M23" i="5"/>
  <c r="M25" i="5" s="1"/>
  <c r="K21" i="5"/>
  <c r="K23" i="5" s="1"/>
  <c r="K25" i="5" s="1"/>
  <c r="L28" i="5" s="1"/>
  <c r="J23" i="5"/>
  <c r="J25" i="5" s="1"/>
  <c r="J32" i="5" s="1"/>
  <c r="J31" i="5"/>
  <c r="L21" i="5"/>
  <c r="L23" i="5" s="1"/>
  <c r="L25" i="5" s="1"/>
  <c r="O18" i="5"/>
  <c r="V13" i="5"/>
  <c r="V12" i="5"/>
  <c r="C118" i="14"/>
  <c r="D118" i="14"/>
  <c r="D117" i="14"/>
  <c r="C117" i="14"/>
  <c r="D20" i="14"/>
  <c r="C129" i="14"/>
  <c r="I23" i="14"/>
  <c r="H23" i="14"/>
  <c r="G23" i="14"/>
  <c r="D6" i="14"/>
  <c r="P21" i="14"/>
  <c r="N21" i="14"/>
  <c r="I148" i="14"/>
  <c r="F148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46" i="14"/>
  <c r="G128" i="14"/>
  <c r="G132" i="14"/>
  <c r="G136" i="14"/>
  <c r="G140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26" i="14"/>
  <c r="E125" i="14"/>
  <c r="F127" i="14" s="1"/>
  <c r="C128" i="14"/>
  <c r="G127" i="14" s="1"/>
  <c r="I116" i="14"/>
  <c r="H116" i="14"/>
  <c r="I115" i="14"/>
  <c r="H115" i="14"/>
  <c r="D116" i="14"/>
  <c r="C116" i="14"/>
  <c r="D115" i="14"/>
  <c r="C115" i="14"/>
  <c r="M31" i="14"/>
  <c r="P14" i="14"/>
  <c r="P15" i="14" s="1"/>
  <c r="P12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I24" i="14"/>
  <c r="J24" i="14" s="1"/>
  <c r="H24" i="14"/>
  <c r="J19" i="14"/>
  <c r="G24" i="14"/>
  <c r="L14" i="14"/>
  <c r="L15" i="14" s="1"/>
  <c r="G19" i="14"/>
  <c r="D19" i="14"/>
  <c r="J12" i="14"/>
  <c r="G12" i="14"/>
  <c r="G5" i="14"/>
  <c r="D12" i="14"/>
  <c r="D5" i="14"/>
  <c r="G7" i="13"/>
  <c r="J7" i="13"/>
  <c r="G35" i="13"/>
  <c r="G36" i="13"/>
  <c r="G37" i="13"/>
  <c r="G38" i="13"/>
  <c r="G39" i="13"/>
  <c r="G40" i="13"/>
  <c r="G41" i="13"/>
  <c r="H41" i="13" s="1"/>
  <c r="I41" i="13" s="1"/>
  <c r="J41" i="13" s="1"/>
  <c r="G42" i="13"/>
  <c r="G43" i="13"/>
  <c r="H43" i="13" s="1"/>
  <c r="I43" i="13" s="1"/>
  <c r="J43" i="13" s="1"/>
  <c r="G44" i="13"/>
  <c r="H38" i="13"/>
  <c r="I38" i="13" s="1"/>
  <c r="J38" i="13" s="1"/>
  <c r="H39" i="13"/>
  <c r="I39" i="13" s="1"/>
  <c r="J39" i="13" s="1"/>
  <c r="H40" i="13"/>
  <c r="I40" i="13" s="1"/>
  <c r="J40" i="13" s="1"/>
  <c r="H42" i="13"/>
  <c r="I42" i="13" s="1"/>
  <c r="J42" i="13" s="1"/>
  <c r="H44" i="13"/>
  <c r="I44" i="13" s="1"/>
  <c r="J44" i="13" s="1"/>
  <c r="H37" i="13"/>
  <c r="I37" i="13" s="1"/>
  <c r="J37" i="13" s="1"/>
  <c r="H35" i="13"/>
  <c r="I35" i="13" s="1"/>
  <c r="J17" i="13"/>
  <c r="F4" i="13"/>
  <c r="I7" i="13"/>
  <c r="J4" i="13"/>
  <c r="F5" i="13"/>
  <c r="J8" i="13"/>
  <c r="J9" i="13"/>
  <c r="J10" i="13"/>
  <c r="J11" i="13"/>
  <c r="J12" i="13"/>
  <c r="J13" i="13"/>
  <c r="J14" i="13"/>
  <c r="J15" i="13"/>
  <c r="J16" i="13"/>
  <c r="H7" i="13"/>
  <c r="I17" i="13"/>
  <c r="I8" i="13"/>
  <c r="I9" i="13"/>
  <c r="I10" i="13"/>
  <c r="I11" i="13"/>
  <c r="I12" i="13"/>
  <c r="I13" i="13"/>
  <c r="I14" i="13"/>
  <c r="I15" i="13"/>
  <c r="I16" i="13"/>
  <c r="H17" i="13"/>
  <c r="G8" i="13"/>
  <c r="G9" i="13"/>
  <c r="G10" i="13"/>
  <c r="G11" i="13"/>
  <c r="G12" i="13"/>
  <c r="G13" i="13"/>
  <c r="G14" i="13"/>
  <c r="G15" i="13"/>
  <c r="G16" i="13"/>
  <c r="C173" i="11"/>
  <c r="D172" i="11"/>
  <c r="C171" i="11"/>
  <c r="C170" i="11"/>
  <c r="C169" i="11"/>
  <c r="C167" i="11"/>
  <c r="C168" i="11"/>
  <c r="C166" i="11"/>
  <c r="C163" i="11"/>
  <c r="C165" i="11"/>
  <c r="D154" i="11"/>
  <c r="E154" i="11"/>
  <c r="F154" i="11"/>
  <c r="G154" i="11"/>
  <c r="H154" i="11"/>
  <c r="C154" i="11"/>
  <c r="D152" i="11"/>
  <c r="E152" i="11"/>
  <c r="F152" i="11"/>
  <c r="G152" i="11"/>
  <c r="H152" i="11"/>
  <c r="C151" i="11"/>
  <c r="D151" i="11"/>
  <c r="E151" i="11"/>
  <c r="F151" i="11"/>
  <c r="G151" i="11"/>
  <c r="H151" i="11"/>
  <c r="C152" i="11"/>
  <c r="C153" i="11"/>
  <c r="C150" i="11"/>
  <c r="C149" i="11"/>
  <c r="D144" i="11"/>
  <c r="C143" i="11"/>
  <c r="C144" i="11"/>
  <c r="C142" i="11"/>
  <c r="C133" i="11"/>
  <c r="C136" i="11" s="1"/>
  <c r="M24" i="11"/>
  <c r="N24" i="11"/>
  <c r="O24" i="11"/>
  <c r="P24" i="11"/>
  <c r="L24" i="11"/>
  <c r="L18" i="11"/>
  <c r="J114" i="11"/>
  <c r="K114" i="11"/>
  <c r="L114" i="11"/>
  <c r="L9" i="11"/>
  <c r="N115" i="11"/>
  <c r="M9" i="11" s="1"/>
  <c r="M115" i="11"/>
  <c r="M113" i="11"/>
  <c r="L20" i="11" s="1"/>
  <c r="M114" i="11"/>
  <c r="M81" i="11"/>
  <c r="N81" i="11" s="1"/>
  <c r="E84" i="11"/>
  <c r="F84" i="11"/>
  <c r="G84" i="11"/>
  <c r="H84" i="11"/>
  <c r="I84" i="11"/>
  <c r="J84" i="11"/>
  <c r="K84" i="11"/>
  <c r="L84" i="11"/>
  <c r="D84" i="11"/>
  <c r="E83" i="11"/>
  <c r="F83" i="11"/>
  <c r="G83" i="11"/>
  <c r="H83" i="11"/>
  <c r="I83" i="11"/>
  <c r="J83" i="11"/>
  <c r="K83" i="11"/>
  <c r="L83" i="11"/>
  <c r="D83" i="11"/>
  <c r="E76" i="11"/>
  <c r="F76" i="11"/>
  <c r="G76" i="11"/>
  <c r="H76" i="11"/>
  <c r="I76" i="11"/>
  <c r="J76" i="11"/>
  <c r="K76" i="11"/>
  <c r="L76" i="11"/>
  <c r="D76" i="11"/>
  <c r="F70" i="11"/>
  <c r="D70" i="11"/>
  <c r="M72" i="11" s="1"/>
  <c r="L26" i="11" s="1"/>
  <c r="E75" i="11"/>
  <c r="F75" i="11"/>
  <c r="G75" i="11"/>
  <c r="H75" i="11"/>
  <c r="I75" i="11"/>
  <c r="J75" i="11"/>
  <c r="K75" i="11"/>
  <c r="L75" i="11"/>
  <c r="E74" i="11"/>
  <c r="F74" i="11"/>
  <c r="G74" i="11"/>
  <c r="H74" i="11"/>
  <c r="I74" i="11"/>
  <c r="J74" i="11"/>
  <c r="K74" i="11"/>
  <c r="L74" i="11"/>
  <c r="D75" i="11"/>
  <c r="D74" i="11"/>
  <c r="D62" i="11"/>
  <c r="D61" i="11"/>
  <c r="C52" i="11"/>
  <c r="L4" i="11"/>
  <c r="M4" i="11" s="1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4" i="2"/>
  <c r="F24" i="2" s="1"/>
  <c r="E5" i="2"/>
  <c r="F4" i="2"/>
  <c r="G4" i="2"/>
  <c r="H4" i="2"/>
  <c r="I4" i="2"/>
  <c r="I5" i="2"/>
  <c r="J4" i="2"/>
  <c r="J5" i="2"/>
  <c r="J23" i="2" s="1"/>
  <c r="K4" i="2"/>
  <c r="C5" i="2"/>
  <c r="D5" i="2"/>
  <c r="F5" i="2"/>
  <c r="F23" i="2" s="1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D16" i="2" s="1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K13" i="2"/>
  <c r="K16" i="2" s="1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F14" i="3" s="1"/>
  <c r="G4" i="3"/>
  <c r="H4" i="3"/>
  <c r="I4" i="3"/>
  <c r="J4" i="3"/>
  <c r="J14" i="3" s="1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L11" i="1" s="1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E20" i="2" s="1"/>
  <c r="F4" i="1"/>
  <c r="F20" i="2" s="1"/>
  <c r="G4" i="1"/>
  <c r="G6" i="1" s="1"/>
  <c r="G19" i="1" s="1"/>
  <c r="H4" i="1"/>
  <c r="I4" i="1"/>
  <c r="J4" i="1"/>
  <c r="K4" i="1"/>
  <c r="H23" i="1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E23" i="2" s="1"/>
  <c r="F12" i="1"/>
  <c r="F13" i="1" s="1"/>
  <c r="F14" i="1" s="1"/>
  <c r="G12" i="1"/>
  <c r="G13" i="1" s="1"/>
  <c r="G14" i="1" s="1"/>
  <c r="H12" i="1"/>
  <c r="I12" i="1"/>
  <c r="I13" i="1" s="1"/>
  <c r="J12" i="1"/>
  <c r="J13" i="1" s="1"/>
  <c r="J14" i="1" s="1"/>
  <c r="K12" i="1"/>
  <c r="K13" i="1" s="1"/>
  <c r="K14" i="1" s="1"/>
  <c r="C15" i="1"/>
  <c r="D15" i="1"/>
  <c r="E15" i="1"/>
  <c r="F15" i="1"/>
  <c r="G15" i="1"/>
  <c r="H15" i="1"/>
  <c r="I15" i="1"/>
  <c r="J15" i="1"/>
  <c r="K15" i="1"/>
  <c r="B15" i="1"/>
  <c r="H13" i="1"/>
  <c r="B7" i="1"/>
  <c r="B4" i="1"/>
  <c r="B20" i="2" s="1"/>
  <c r="A1" i="1"/>
  <c r="A1" i="3" s="1"/>
  <c r="E1" i="6"/>
  <c r="H1" i="1" s="1"/>
  <c r="E1" i="2"/>
  <c r="E1" i="3"/>
  <c r="H16" i="2"/>
  <c r="C23" i="2"/>
  <c r="C16" i="2"/>
  <c r="F16" i="2"/>
  <c r="E6" i="1"/>
  <c r="E19" i="1" s="1"/>
  <c r="H23" i="2"/>
  <c r="D23" i="2"/>
  <c r="I6" i="1"/>
  <c r="I19" i="1" s="1"/>
  <c r="J6" i="1"/>
  <c r="J19" i="1"/>
  <c r="C6" i="1"/>
  <c r="C19" i="1" s="1"/>
  <c r="D6" i="1"/>
  <c r="D19" i="1" s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H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E14" i="3"/>
  <c r="I14" i="3"/>
  <c r="G14" i="3"/>
  <c r="K20" i="2"/>
  <c r="D20" i="2"/>
  <c r="J20" i="2"/>
  <c r="C20" i="2"/>
  <c r="L12" i="1"/>
  <c r="L13" i="1" s="1"/>
  <c r="L14" i="1" s="1"/>
  <c r="L25" i="1" s="1"/>
  <c r="L10" i="1"/>
  <c r="L6" i="1"/>
  <c r="L4" i="1"/>
  <c r="L23" i="1" s="1"/>
  <c r="A1" i="2"/>
  <c r="A1" i="4" s="1"/>
  <c r="I23" i="1"/>
  <c r="L5" i="1"/>
  <c r="F38" i="11"/>
  <c r="K59" i="14" l="1"/>
  <c r="K25" i="14"/>
  <c r="J27" i="5"/>
  <c r="F138" i="14"/>
  <c r="F134" i="14"/>
  <c r="F130" i="14"/>
  <c r="F126" i="14"/>
  <c r="G138" i="14"/>
  <c r="G134" i="14"/>
  <c r="G130" i="14"/>
  <c r="G126" i="14"/>
  <c r="F125" i="14"/>
  <c r="F137" i="14"/>
  <c r="F133" i="14"/>
  <c r="F129" i="14"/>
  <c r="G125" i="14"/>
  <c r="G137" i="14"/>
  <c r="G133" i="14"/>
  <c r="G129" i="14"/>
  <c r="F140" i="14"/>
  <c r="F136" i="14"/>
  <c r="F132" i="14"/>
  <c r="F128" i="14"/>
  <c r="F139" i="14"/>
  <c r="F135" i="14"/>
  <c r="F131" i="14"/>
  <c r="G139" i="14"/>
  <c r="G135" i="14"/>
  <c r="G131" i="14"/>
  <c r="L29" i="14"/>
  <c r="H84" i="14"/>
  <c r="J25" i="14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G45" i="13"/>
  <c r="H36" i="13"/>
  <c r="I36" i="13" s="1"/>
  <c r="J36" i="13" s="1"/>
  <c r="J32" i="13"/>
  <c r="I45" i="13"/>
  <c r="J35" i="13"/>
  <c r="H45" i="13"/>
  <c r="H10" i="13"/>
  <c r="H13" i="13"/>
  <c r="H16" i="13"/>
  <c r="H12" i="13"/>
  <c r="H8" i="13"/>
  <c r="G17" i="13"/>
  <c r="D142" i="11"/>
  <c r="C145" i="11" s="1"/>
  <c r="D143" i="11"/>
  <c r="M18" i="11"/>
  <c r="M76" i="11"/>
  <c r="N72" i="11"/>
  <c r="M73" i="11"/>
  <c r="L7" i="11" s="1"/>
  <c r="N82" i="11"/>
  <c r="M8" i="11" s="1"/>
  <c r="E150" i="11" s="1"/>
  <c r="O81" i="11"/>
  <c r="O84" i="11" s="1"/>
  <c r="N84" i="11"/>
  <c r="O4" i="11"/>
  <c r="P4" i="11"/>
  <c r="M5" i="11"/>
  <c r="M6" i="11" s="1"/>
  <c r="N4" i="11"/>
  <c r="M82" i="11"/>
  <c r="L8" i="11" s="1"/>
  <c r="M84" i="11"/>
  <c r="L5" i="11"/>
  <c r="L6" i="11" s="1"/>
  <c r="K23" i="2"/>
  <c r="I14" i="1"/>
  <c r="K25" i="1" s="1"/>
  <c r="M25" i="1" s="1"/>
  <c r="M14" i="1" s="1"/>
  <c r="C24" i="2"/>
  <c r="I23" i="2"/>
  <c r="H24" i="2"/>
  <c r="J23" i="1"/>
  <c r="L19" i="1"/>
  <c r="L24" i="1" s="1"/>
  <c r="G20" i="2"/>
  <c r="B16" i="2"/>
  <c r="K6" i="1"/>
  <c r="K19" i="1" s="1"/>
  <c r="K24" i="1" s="1"/>
  <c r="M24" i="1" s="1"/>
  <c r="B23" i="2"/>
  <c r="H14" i="1"/>
  <c r="J16" i="2"/>
  <c r="G16" i="2"/>
  <c r="G24" i="2"/>
  <c r="E24" i="2"/>
  <c r="D13" i="1"/>
  <c r="E13" i="1" s="1"/>
  <c r="N11" i="1"/>
  <c r="E14" i="1"/>
  <c r="L8" i="1"/>
  <c r="L7" i="1"/>
  <c r="J24" i="2"/>
  <c r="M11" i="1"/>
  <c r="G23" i="2"/>
  <c r="B14" i="1"/>
  <c r="D14" i="1"/>
  <c r="I16" i="2"/>
  <c r="K24" i="2"/>
  <c r="I24" i="2"/>
  <c r="J25" i="1"/>
  <c r="M9" i="1"/>
  <c r="N9" i="1"/>
  <c r="N8" i="1"/>
  <c r="M8" i="1"/>
  <c r="H25" i="1"/>
  <c r="N25" i="1" s="1"/>
  <c r="N14" i="1" s="1"/>
  <c r="I25" i="1"/>
  <c r="I20" i="2"/>
  <c r="J24" i="1"/>
  <c r="H20" i="2"/>
  <c r="K23" i="1"/>
  <c r="M23" i="1" s="1"/>
  <c r="M4" i="1" s="1"/>
  <c r="H6" i="1"/>
  <c r="H19" i="1" s="1"/>
  <c r="F6" i="1"/>
  <c r="F19" i="1" s="1"/>
  <c r="H24" i="1" s="1"/>
  <c r="E1" i="4"/>
  <c r="F33" i="13" l="1"/>
  <c r="J45" i="13"/>
  <c r="F32" i="13"/>
  <c r="H14" i="13"/>
  <c r="H15" i="13"/>
  <c r="H9" i="13"/>
  <c r="H11" i="13"/>
  <c r="L10" i="11"/>
  <c r="D150" i="11"/>
  <c r="N18" i="11"/>
  <c r="M26" i="11"/>
  <c r="N76" i="11"/>
  <c r="P81" i="11"/>
  <c r="O82" i="11"/>
  <c r="N8" i="11" s="1"/>
  <c r="F150" i="11" s="1"/>
  <c r="O5" i="11"/>
  <c r="O6" i="11"/>
  <c r="N5" i="11"/>
  <c r="N6" i="11" s="1"/>
  <c r="P5" i="11"/>
  <c r="P6" i="11" s="1"/>
  <c r="O72" i="11"/>
  <c r="N73" i="11"/>
  <c r="M7" i="11" s="1"/>
  <c r="M10" i="11" s="1"/>
  <c r="N24" i="1"/>
  <c r="N23" i="1"/>
  <c r="N4" i="1" s="1"/>
  <c r="N6" i="1" s="1"/>
  <c r="I24" i="1"/>
  <c r="M6" i="1"/>
  <c r="M10" i="1" s="1"/>
  <c r="M12" i="1" s="1"/>
  <c r="M13" i="1" s="1"/>
  <c r="M15" i="1" s="1"/>
  <c r="M11" i="11" l="1"/>
  <c r="M12" i="11" s="1"/>
  <c r="N26" i="11"/>
  <c r="O76" i="11"/>
  <c r="O18" i="11"/>
  <c r="L12" i="11"/>
  <c r="L11" i="11"/>
  <c r="P72" i="11"/>
  <c r="O73" i="11"/>
  <c r="N7" i="11" s="1"/>
  <c r="P82" i="11"/>
  <c r="O8" i="11" s="1"/>
  <c r="G150" i="11" s="1"/>
  <c r="P84" i="11"/>
  <c r="Q81" i="11"/>
  <c r="N10" i="1"/>
  <c r="N12" i="1" s="1"/>
  <c r="N13" i="1" s="1"/>
  <c r="N15" i="1" s="1"/>
  <c r="N5" i="1"/>
  <c r="M5" i="1"/>
  <c r="E149" i="11" l="1"/>
  <c r="O114" i="11"/>
  <c r="O113" i="11" s="1"/>
  <c r="P76" i="11"/>
  <c r="O26" i="11"/>
  <c r="N114" i="11"/>
  <c r="N113" i="11" s="1"/>
  <c r="L19" i="11"/>
  <c r="D149" i="11"/>
  <c r="P18" i="11"/>
  <c r="Q84" i="11"/>
  <c r="Q82" i="11"/>
  <c r="P8" i="11" s="1"/>
  <c r="H150" i="11" s="1"/>
  <c r="Q72" i="11"/>
  <c r="P73" i="11"/>
  <c r="O7" i="11" s="1"/>
  <c r="M19" i="11" l="1"/>
  <c r="L27" i="11"/>
  <c r="P115" i="11"/>
  <c r="O9" i="11" s="1"/>
  <c r="N20" i="11"/>
  <c r="Q73" i="11"/>
  <c r="P7" i="11" s="1"/>
  <c r="Q76" i="11"/>
  <c r="P26" i="11"/>
  <c r="O115" i="11"/>
  <c r="N9" i="11" s="1"/>
  <c r="M20" i="11"/>
  <c r="L21" i="11" l="1"/>
  <c r="L22" i="11" s="1"/>
  <c r="L25" i="11" s="1"/>
  <c r="L28" i="11" s="1"/>
  <c r="M27" i="11"/>
  <c r="N10" i="11"/>
  <c r="O10" i="11"/>
  <c r="O11" i="11" s="1"/>
  <c r="O12" i="11" s="1"/>
  <c r="G149" i="11" l="1"/>
  <c r="M30" i="11"/>
  <c r="M21" i="11"/>
  <c r="M22" i="11" s="1"/>
  <c r="M25" i="11" s="1"/>
  <c r="M28" i="11" s="1"/>
  <c r="N11" i="11"/>
  <c r="N12" i="11" s="1"/>
  <c r="L30" i="11"/>
  <c r="D153" i="11" s="1"/>
  <c r="F149" i="11" l="1"/>
  <c r="P114" i="11"/>
  <c r="P113" i="11" s="1"/>
  <c r="N19" i="11"/>
  <c r="E153" i="11"/>
  <c r="O19" i="11" l="1"/>
  <c r="N27" i="11"/>
  <c r="Q115" i="11"/>
  <c r="P9" i="11" s="1"/>
  <c r="O20" i="11"/>
  <c r="Q114" i="11"/>
  <c r="Q113" i="11" s="1"/>
  <c r="P10" i="11" l="1"/>
  <c r="P11" i="11" s="1"/>
  <c r="P12" i="11" s="1"/>
  <c r="O27" i="11"/>
  <c r="N30" i="11"/>
  <c r="F153" i="11" s="1"/>
  <c r="N21" i="11"/>
  <c r="N22" i="11" s="1"/>
  <c r="N25" i="11" s="1"/>
  <c r="N28" i="11" s="1"/>
  <c r="R115" i="11"/>
  <c r="P20" i="11"/>
  <c r="P19" i="11"/>
  <c r="P27" i="11" l="1"/>
  <c r="O21" i="11"/>
  <c r="O22" i="11" s="1"/>
  <c r="O25" i="11" s="1"/>
  <c r="O28" i="11" s="1"/>
  <c r="H149" i="11"/>
  <c r="R114" i="11"/>
  <c r="R113" i="11" s="1"/>
  <c r="O30" i="11" l="1"/>
  <c r="G153" i="11" s="1"/>
  <c r="P21" i="11"/>
  <c r="P22" i="11" s="1"/>
  <c r="P25" i="11" s="1"/>
  <c r="P28" i="11" s="1"/>
  <c r="P30" i="11"/>
  <c r="H153" i="11" s="1"/>
</calcChain>
</file>

<file path=xl/sharedStrings.xml><?xml version="1.0" encoding="utf-8"?>
<sst xmlns="http://schemas.openxmlformats.org/spreadsheetml/2006/main" count="519" uniqueCount="325">
  <si>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</si>
  <si>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</si>
  <si>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</si>
  <si>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</si>
  <si>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</si>
  <si>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</si>
  <si>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</si>
  <si>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</si>
  <si>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</si>
  <si>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</si>
  <si>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</si>
  <si>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</si>
  <si>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</si>
  <si>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</si>
  <si>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</si>
  <si>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</si>
  <si>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</si>
  <si>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</si>
  <si>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</si>
  <si>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</si>
  <si>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</si>
  <si>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</si>
  <si>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</si>
  <si>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</si>
  <si>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</si>
  <si>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</si>
  <si>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</si>
  <si>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</si>
  <si>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</si>
  <si>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</si>
  <si>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</si>
  <si>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</si>
  <si>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</si>
  <si>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</si>
  <si>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</si>
  <si>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</si>
  <si>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</si>
  <si>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</si>
  <si>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</si>
  <si>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</si>
  <si>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</si>
  <si>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</si>
  <si>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</si>
  <si>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</si>
  <si>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</si>
  <si>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</si>
  <si>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</si>
  <si>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</si>
  <si>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</si>
  <si>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</si>
  <si>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</si>
  <si>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</si>
  <si>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</si>
  <si>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</si>
  <si>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</si>
  <si>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</si>
  <si>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</si>
  <si>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</si>
  <si>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</si>
  <si>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</si>
  <si>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</si>
  <si>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</si>
  <si>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</si>
  <si>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ITC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</si>
  <si>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</si>
  <si>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</si>
  <si>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</si>
  <si>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</si>
  <si>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</si>
  <si>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</si>
  <si>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</si>
  <si>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</si>
  <si>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</si>
  <si>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</si>
  <si>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</si>
  <si>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</si>
  <si>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</si>
  <si>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</si>
  <si>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</si>
  <si>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</si>
  <si>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</si>
  <si>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</si>
  <si>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</si>
  <si>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</si>
  <si>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</si>
  <si>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</si>
  <si>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</si>
  <si>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</si>
  <si>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</si>
  <si>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</si>
  <si>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</si>
  <si>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</si>
  <si>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</si>
  <si>
    <t xml:space="preserve">FORCASTING </t>
  </si>
  <si>
    <t xml:space="preserve">PROFIT &amp; LOSS </t>
  </si>
  <si>
    <t xml:space="preserve">BALANCE SHEET </t>
  </si>
  <si>
    <t>DATE</t>
  </si>
  <si>
    <t xml:space="preserve">SEASONLITY </t>
  </si>
  <si>
    <t xml:space="preserve">TREND ELIMENT </t>
  </si>
  <si>
    <t>CORR</t>
  </si>
  <si>
    <t xml:space="preserve">&gt;0.75 HIGLY CORR </t>
  </si>
  <si>
    <t xml:space="preserve">REGRESSION METHOS </t>
  </si>
  <si>
    <t>BELO .5 LOW</t>
  </si>
  <si>
    <t>Y=MX+C</t>
  </si>
  <si>
    <t>M</t>
  </si>
  <si>
    <t>C</t>
  </si>
  <si>
    <t>EXP=M*SALES+C</t>
  </si>
  <si>
    <t>SLOPE - EXP - SALE</t>
  </si>
  <si>
    <t>Y = EXP</t>
  </si>
  <si>
    <t>X= SALE</t>
  </si>
  <si>
    <t xml:space="preserve">INTERCET </t>
  </si>
  <si>
    <t>EXP=0.65*SALES-930</t>
  </si>
  <si>
    <t xml:space="preserve">other income </t>
  </si>
  <si>
    <t xml:space="preserve">% change in investments </t>
  </si>
  <si>
    <t>% in other income</t>
  </si>
  <si>
    <t>% other income</t>
  </si>
  <si>
    <t xml:space="preserve">current year ivest -priviouse year/ privious year </t>
  </si>
  <si>
    <t xml:space="preserve">% change in inveastment </t>
  </si>
  <si>
    <t>median</t>
  </si>
  <si>
    <t xml:space="preserve">bcz its continoues data </t>
  </si>
  <si>
    <t>Additional Investment</t>
  </si>
  <si>
    <t>Depriciation- SLN</t>
  </si>
  <si>
    <t>Avg Asset Life</t>
  </si>
  <si>
    <t>Salvage%</t>
  </si>
  <si>
    <t xml:space="preserve">Assumed data </t>
  </si>
  <si>
    <t xml:space="preserve">% change in net block </t>
  </si>
  <si>
    <t xml:space="preserve">Additional net block </t>
  </si>
  <si>
    <t>Avg 7.5</t>
  </si>
  <si>
    <t>% change in Net block</t>
  </si>
  <si>
    <t xml:space="preserve">Loan and Intrest </t>
  </si>
  <si>
    <t>Cost of Debt</t>
  </si>
  <si>
    <t>Repayment%</t>
  </si>
  <si>
    <t xml:space="preserve">Interest Paid </t>
  </si>
  <si>
    <t xml:space="preserve">Loan amt </t>
  </si>
  <si>
    <t xml:space="preserve">Repayment amt </t>
  </si>
  <si>
    <t xml:space="preserve">To find bal  Loan amt and Intrest </t>
  </si>
  <si>
    <t>INTREST</t>
  </si>
  <si>
    <t>PRRV*COD</t>
  </si>
  <si>
    <t>2025 LOAN</t>
  </si>
  <si>
    <t>PREV-REPAY</t>
  </si>
  <si>
    <t>Cost of equity (ke)- CAPM Model</t>
  </si>
  <si>
    <t>5year old NIFTY</t>
  </si>
  <si>
    <t>Today NIFTY</t>
  </si>
  <si>
    <t>Rm</t>
  </si>
  <si>
    <t>Rf</t>
  </si>
  <si>
    <t>beta</t>
  </si>
  <si>
    <t>ke</t>
  </si>
  <si>
    <t xml:space="preserve">capital asste pricing model </t>
  </si>
  <si>
    <t>risk free return</t>
  </si>
  <si>
    <t xml:space="preserve">Market Returen </t>
  </si>
  <si>
    <t>WACC-2024</t>
  </si>
  <si>
    <t xml:space="preserve">Capital </t>
  </si>
  <si>
    <t>Amount</t>
  </si>
  <si>
    <t>CoC</t>
  </si>
  <si>
    <t xml:space="preserve">Euity Shere Capital </t>
  </si>
  <si>
    <t>Ke</t>
  </si>
  <si>
    <t>rate 5,0,-,5year old , todays val</t>
  </si>
  <si>
    <t>GOI GS 29 (Rbi)</t>
  </si>
  <si>
    <t xml:space="preserve">from yahoo web </t>
  </si>
  <si>
    <t>Ke=Rf+beta*(Rm-Rf)</t>
  </si>
  <si>
    <t>WACC</t>
  </si>
  <si>
    <t>from balace sheet 2024</t>
  </si>
  <si>
    <t>kd</t>
  </si>
  <si>
    <t xml:space="preserve">Cost of debt </t>
  </si>
  <si>
    <t>Free Cashflow</t>
  </si>
  <si>
    <t>Net Profit</t>
  </si>
  <si>
    <t>D&amp;A</t>
  </si>
  <si>
    <t>Cap Exp</t>
  </si>
  <si>
    <t>CWC</t>
  </si>
  <si>
    <t>FCFF/FCFE</t>
  </si>
  <si>
    <t xml:space="preserve">Change in working capital </t>
  </si>
  <si>
    <t xml:space="preserve">capital expenditure </t>
  </si>
  <si>
    <t xml:space="preserve">depcriation and amortaization </t>
  </si>
  <si>
    <t xml:space="preserve">free cash for firm </t>
  </si>
  <si>
    <t xml:space="preserve">change in working capital </t>
  </si>
  <si>
    <t>wotking capital of 2024 - 2023</t>
  </si>
  <si>
    <t xml:space="preserve">working capital </t>
  </si>
  <si>
    <t xml:space="preserve">other asstes - other liabality </t>
  </si>
  <si>
    <t>From p&amp;l</t>
  </si>
  <si>
    <t>Intrest</t>
  </si>
  <si>
    <t>fcff=net profit +d&amp;a+intrest*70% (-tax ,so 70%)-cap exp-cwc</t>
  </si>
  <si>
    <t>Valuation - DFC</t>
  </si>
  <si>
    <t>2029 FCFF</t>
  </si>
  <si>
    <t>Grouth rate, g</t>
  </si>
  <si>
    <t>Terminal Valuve (TV)</t>
  </si>
  <si>
    <t>NPV For FCFF</t>
  </si>
  <si>
    <t>Total Firm Value</t>
  </si>
  <si>
    <t>Debt</t>
  </si>
  <si>
    <t>NPV for TV</t>
  </si>
  <si>
    <t>Total Equity Value</t>
  </si>
  <si>
    <t xml:space="preserve">mannuly typed - from rbi -- expected growth rate </t>
  </si>
  <si>
    <t>fcff/1+g)/(wacc,g)</t>
  </si>
  <si>
    <t xml:space="preserve">free cash flow to the firm </t>
  </si>
  <si>
    <t>FFCF</t>
  </si>
  <si>
    <t>FFCE</t>
  </si>
  <si>
    <t xml:space="preserve">Free cash flow to the Equity </t>
  </si>
  <si>
    <t xml:space="preserve">npv formula </t>
  </si>
  <si>
    <t>pv formula</t>
  </si>
  <si>
    <t>Market pre / disc</t>
  </si>
  <si>
    <t xml:space="preserve">no of sheres from data sheet </t>
  </si>
  <si>
    <t>from yahoo finance ---</t>
  </si>
  <si>
    <t>Portfolio Mangement</t>
  </si>
  <si>
    <t>Investment Amount</t>
  </si>
  <si>
    <t>duration</t>
  </si>
  <si>
    <t>Stocks</t>
  </si>
  <si>
    <t xml:space="preserve">5 years </t>
  </si>
  <si>
    <t>CMP</t>
  </si>
  <si>
    <t>PE</t>
  </si>
  <si>
    <t>PB</t>
  </si>
  <si>
    <t>Hedge Ration</t>
  </si>
  <si>
    <t>Portfolio PE</t>
  </si>
  <si>
    <t>Beta</t>
  </si>
  <si>
    <t>Portfolio PB</t>
  </si>
  <si>
    <t>Qty</t>
  </si>
  <si>
    <t>Adani Ports</t>
  </si>
  <si>
    <t>Apollo Hospital</t>
  </si>
  <si>
    <t>Asian Paints</t>
  </si>
  <si>
    <t>Axis Bank</t>
  </si>
  <si>
    <t>Bajaj Auto</t>
  </si>
  <si>
    <t>Bharati Airtel</t>
  </si>
  <si>
    <t>Britannia</t>
  </si>
  <si>
    <t>Cipla</t>
  </si>
  <si>
    <t>Coal India</t>
  </si>
  <si>
    <t>Infosys</t>
  </si>
  <si>
    <t xml:space="preserve">Total </t>
  </si>
  <si>
    <t>PB/PE</t>
  </si>
  <si>
    <t xml:space="preserve">Aggresiv </t>
  </si>
  <si>
    <t xml:space="preserve">high rish high return </t>
  </si>
  <si>
    <t>RAR</t>
  </si>
  <si>
    <t xml:space="preserve">% allocation </t>
  </si>
  <si>
    <t xml:space="preserve">Amoout </t>
  </si>
  <si>
    <t xml:space="preserve">Conservative </t>
  </si>
  <si>
    <t>Future Value (FV)</t>
  </si>
  <si>
    <t xml:space="preserve">Investment </t>
  </si>
  <si>
    <t>IR</t>
  </si>
  <si>
    <t>Year</t>
  </si>
  <si>
    <t>Maturity Amt</t>
  </si>
  <si>
    <t>Present Value(PV)</t>
  </si>
  <si>
    <t>Goal Amt</t>
  </si>
  <si>
    <t>Present Value(pv)</t>
  </si>
  <si>
    <t>Future Value(FV)</t>
  </si>
  <si>
    <t>NPER</t>
  </si>
  <si>
    <t>Rate- CAGR</t>
  </si>
  <si>
    <t>Loan EMI- PMT</t>
  </si>
  <si>
    <t>NPV</t>
  </si>
  <si>
    <t>XNPV</t>
  </si>
  <si>
    <t>XIRR</t>
  </si>
  <si>
    <t>EFFECT</t>
  </si>
  <si>
    <t>DB</t>
  </si>
  <si>
    <t>SLN</t>
  </si>
  <si>
    <t>IRR ( Intenal rate of retuen )</t>
  </si>
  <si>
    <t>why- (cash outflow always shows In -)</t>
  </si>
  <si>
    <t>SIP</t>
  </si>
  <si>
    <t>YEAR</t>
  </si>
  <si>
    <t>PMT</t>
  </si>
  <si>
    <t>FV-( rate/12,year*12,sip)</t>
  </si>
  <si>
    <t xml:space="preserve">FV-(rate,year,paymet if there ,pv) pmt = o bza one time investment not regular investment </t>
  </si>
  <si>
    <t>No Of Years</t>
  </si>
  <si>
    <t>PMTrate,no of year,pmt-0,fv )</t>
  </si>
  <si>
    <t>CAGR</t>
  </si>
  <si>
    <t>SWP</t>
  </si>
  <si>
    <t>systamatic withderaw plan</t>
  </si>
  <si>
    <t>Investment</t>
  </si>
  <si>
    <t>EMI</t>
  </si>
  <si>
    <t>Years</t>
  </si>
  <si>
    <t>NPV,IRR</t>
  </si>
  <si>
    <t>Inflation or DR</t>
  </si>
  <si>
    <t>nper - rate ,pmt,present vlaue (0) , fv ) /12 (for year after closing () / 12 )</t>
  </si>
  <si>
    <t xml:space="preserve">Copounded annual growth rate </t>
  </si>
  <si>
    <t>rate-no of year*12,pmt,pv-(0),fv-(780000))*12</t>
  </si>
  <si>
    <t>Loan</t>
  </si>
  <si>
    <t>Month</t>
  </si>
  <si>
    <t>Principal</t>
  </si>
  <si>
    <t>Balance</t>
  </si>
  <si>
    <t>ipmt-($J$17/12,F24,$J$18*12,J16) (rate/12,per(month and fix $)nper*12,pv(8L))</t>
  </si>
  <si>
    <t>PMT-rate/12,nper*12,pv</t>
  </si>
  <si>
    <t>ppmt-</t>
  </si>
  <si>
    <t>Cashflow 1</t>
  </si>
  <si>
    <t>Cashflow 2</t>
  </si>
  <si>
    <t>IRR</t>
  </si>
  <si>
    <t>Discounted Rate</t>
  </si>
  <si>
    <t>Net Present Value</t>
  </si>
  <si>
    <t xml:space="preserve">Constant cashflow </t>
  </si>
  <si>
    <t xml:space="preserve">Which ever is higher select that one </t>
  </si>
  <si>
    <t>XNPV,XIRR</t>
  </si>
  <si>
    <t>Date</t>
  </si>
  <si>
    <t>When dates adre deffareant we use this formalu</t>
  </si>
  <si>
    <t>Depriciation</t>
  </si>
  <si>
    <t>Cost</t>
  </si>
  <si>
    <t>Salvage %</t>
  </si>
  <si>
    <t>Life</t>
  </si>
  <si>
    <t>Depp</t>
  </si>
  <si>
    <t xml:space="preserve">If value give take dairectly if not make * (13000*10%) in formula </t>
  </si>
  <si>
    <t xml:space="preserve">SLN-cost,salvage vlauve ,life </t>
  </si>
  <si>
    <t>IDV-DB</t>
  </si>
  <si>
    <t>IDV-SLN</t>
  </si>
  <si>
    <t>Deminsing balace method</t>
  </si>
  <si>
    <t>DB (formula )</t>
  </si>
  <si>
    <t xml:space="preserve">Insure dicler value </t>
  </si>
  <si>
    <t>cost-sln*year(1)</t>
  </si>
  <si>
    <t>cost-sum(depriciation amt fix:deproication amt (18,460)</t>
  </si>
  <si>
    <t>have to choose higher diclear insurenace comp</t>
  </si>
  <si>
    <t xml:space="preserve">Double Declining Balcance </t>
  </si>
  <si>
    <t>Sum of Years</t>
  </si>
  <si>
    <t xml:space="preserve">Same as diminising </t>
  </si>
  <si>
    <t>formula- DDB</t>
  </si>
  <si>
    <t xml:space="preserve">SYD </t>
  </si>
  <si>
    <t>depriciation method</t>
  </si>
  <si>
    <t xml:space="preserve">EFFECT </t>
  </si>
  <si>
    <t>Rate</t>
  </si>
  <si>
    <t>Effective IR</t>
  </si>
  <si>
    <t xml:space="preserve">Intrest colculation </t>
  </si>
  <si>
    <t>compound int</t>
  </si>
  <si>
    <t xml:space="preserve"> </t>
  </si>
  <si>
    <t>cake</t>
  </si>
  <si>
    <t xml:space="preserve">lunch </t>
  </si>
  <si>
    <t>Renu</t>
  </si>
  <si>
    <t>Viji</t>
  </si>
  <si>
    <t>Channu</t>
  </si>
  <si>
    <t xml:space="preserve">Ramya </t>
  </si>
  <si>
    <t>Cake</t>
  </si>
  <si>
    <t>Food</t>
  </si>
  <si>
    <t xml:space="preserve">Paid </t>
  </si>
  <si>
    <t>Balace</t>
  </si>
  <si>
    <t>Seena B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</si>
</sst>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₹&quot;\ #,##0.00;[Red]&quot;₹&quot;\ \-#,##0.00"/>
    <numFmt numFmtId="42" formatCode="_ &quot;₹&quot;\ * #,##0_ ;_ &quot;₹&quot;\ * \-#,##0_ ;_ &quot;₹&quot;\ * &quot;-&quot;_ ;_ @_ "/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6" formatCode="#,##0.00_ ;[Red]\-#,##0.00\ "/>
    <numFmt numFmtId="167" formatCode="0.0"/>
    <numFmt numFmtId="168" formatCode="&quot;₹&quot;\ #,##0.00"/>
    <numFmt numFmtId="169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2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115">
    <xf numFmtId="0" fontId="0" fillId="0" borderId="0" xfId="0"/>
    <xf numFmtId="43" fontId="1" fillId="0" borderId="0" xfId="1" applyFont="1" applyBorder="1"/>
    <xf numFmtId="0" fontId="1" fillId="0" borderId="0" xfId="0" applyFont="1"/>
    <xf numFmtId="0" fontId="8" fillId="0" borderId="0" xfId="0" applyFont="1"/>
    <xf numFmtId="43" fontId="0" fillId="0" borderId="0" xfId="1" applyFont="1" applyBorder="1"/>
    <xf numFmtId="10" fontId="0" fillId="0" borderId="0" xfId="0" applyNumberFormat="1"/>
    <xf numFmtId="43" fontId="3" fillId="0" borderId="0" xfId="1" applyFont="1" applyBorder="1"/>
    <xf numFmtId="9" fontId="3" fillId="0" borderId="0" xfId="1" applyNumberFormat="1" applyFont="1" applyBorder="1"/>
    <xf numFmtId="43" fontId="2" fillId="2" borderId="0" xfId="3" applyNumberFormat="1" applyFont="1" applyBorder="1"/>
    <xf numFmtId="43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3" fontId="0" fillId="0" borderId="0" xfId="1" applyFont="1" applyBorder="1" applyAlignment="1">
      <alignment horizontal="center"/>
    </xf>
    <xf numFmtId="43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164" fontId="0" fillId="0" borderId="0" xfId="1" applyNumberFormat="1" applyFont="1" applyBorder="1"/>
    <xf numFmtId="14" fontId="0" fillId="0" borderId="0" xfId="0" applyNumberFormat="1"/>
    <xf numFmtId="14" fontId="0" fillId="6" borderId="0" xfId="0" applyNumberFormat="1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  <xf numFmtId="14" fontId="0" fillId="9" borderId="0" xfId="0" applyNumberFormat="1" applyFill="1"/>
    <xf numFmtId="0" fontId="0" fillId="10" borderId="0" xfId="0" applyFill="1"/>
    <xf numFmtId="0" fontId="0" fillId="9" borderId="0" xfId="0" applyFill="1"/>
    <xf numFmtId="0" fontId="10" fillId="0" borderId="0" xfId="0" applyFont="1" applyAlignment="1">
      <alignment horizontal="center"/>
    </xf>
    <xf numFmtId="0" fontId="0" fillId="0" borderId="0" xfId="0" applyAlignment="1">
      <alignment wrapText="1"/>
    </xf>
    <xf numFmtId="0" fontId="11" fillId="11" borderId="0" xfId="0" applyFont="1" applyFill="1"/>
    <xf numFmtId="0" fontId="12" fillId="12" borderId="0" xfId="0" applyFont="1" applyFill="1" applyAlignment="1">
      <alignment horizontal="center" wrapText="1"/>
    </xf>
    <xf numFmtId="0" fontId="1" fillId="12" borderId="0" xfId="0" applyFont="1" applyFill="1" applyAlignment="1">
      <alignment wrapText="1"/>
    </xf>
    <xf numFmtId="10" fontId="0" fillId="13" borderId="0" xfId="0" applyNumberFormat="1" applyFill="1"/>
    <xf numFmtId="0" fontId="1" fillId="14" borderId="0" xfId="0" applyFont="1" applyFill="1"/>
    <xf numFmtId="9" fontId="1" fillId="14" borderId="0" xfId="0" applyNumberFormat="1" applyFont="1" applyFill="1"/>
    <xf numFmtId="0" fontId="1" fillId="16" borderId="0" xfId="0" applyFont="1" applyFill="1" applyAlignment="1">
      <alignment horizontal="center" wrapText="1"/>
    </xf>
    <xf numFmtId="10" fontId="1" fillId="15" borderId="0" xfId="0" applyNumberFormat="1" applyFont="1" applyFill="1"/>
    <xf numFmtId="8" fontId="0" fillId="0" borderId="0" xfId="0" applyNumberFormat="1"/>
    <xf numFmtId="0" fontId="1" fillId="11" borderId="0" xfId="0" applyFont="1" applyFill="1"/>
    <xf numFmtId="9" fontId="1" fillId="11" borderId="0" xfId="0" applyNumberFormat="1" applyFont="1" applyFill="1"/>
    <xf numFmtId="14" fontId="0" fillId="17" borderId="0" xfId="0" applyNumberFormat="1" applyFill="1"/>
    <xf numFmtId="2" fontId="0" fillId="0" borderId="0" xfId="0" applyNumberFormat="1"/>
    <xf numFmtId="166" fontId="0" fillId="0" borderId="0" xfId="0" applyNumberFormat="1"/>
    <xf numFmtId="0" fontId="0" fillId="0" borderId="1" xfId="0" applyBorder="1"/>
    <xf numFmtId="0" fontId="0" fillId="18" borderId="0" xfId="0" applyFill="1"/>
    <xf numFmtId="9" fontId="0" fillId="0" borderId="1" xfId="0" applyNumberFormat="1" applyBorder="1"/>
    <xf numFmtId="10" fontId="0" fillId="0" borderId="1" xfId="0" applyNumberFormat="1" applyBorder="1"/>
    <xf numFmtId="0" fontId="0" fillId="7" borderId="1" xfId="0" applyFill="1" applyBorder="1"/>
    <xf numFmtId="2" fontId="0" fillId="0" borderId="1" xfId="0" applyNumberFormat="1" applyBorder="1"/>
    <xf numFmtId="14" fontId="0" fillId="12" borderId="0" xfId="0" applyNumberFormat="1" applyFill="1"/>
    <xf numFmtId="0" fontId="0" fillId="9" borderId="1" xfId="0" applyFill="1" applyBorder="1"/>
    <xf numFmtId="14" fontId="0" fillId="9" borderId="1" xfId="0" applyNumberFormat="1" applyFill="1" applyBorder="1"/>
    <xf numFmtId="14" fontId="0" fillId="12" borderId="1" xfId="0" applyNumberFormat="1" applyFill="1" applyBorder="1"/>
    <xf numFmtId="167" fontId="0" fillId="0" borderId="0" xfId="0" applyNumberFormat="1"/>
    <xf numFmtId="0" fontId="1" fillId="7" borderId="1" xfId="0" applyFont="1" applyFill="1" applyBorder="1"/>
    <xf numFmtId="0" fontId="1" fillId="0" borderId="1" xfId="0" applyFont="1" applyBorder="1"/>
    <xf numFmtId="0" fontId="1" fillId="20" borderId="1" xfId="0" applyFont="1" applyFill="1" applyBorder="1"/>
    <xf numFmtId="0" fontId="14" fillId="15" borderId="0" xfId="0" applyFont="1" applyFill="1" applyAlignment="1">
      <alignment vertical="center"/>
    </xf>
    <xf numFmtId="42" fontId="1" fillId="7" borderId="1" xfId="0" applyNumberFormat="1" applyFont="1" applyFill="1" applyBorder="1"/>
    <xf numFmtId="168" fontId="1" fillId="0" borderId="1" xfId="0" applyNumberFormat="1" applyFont="1" applyBorder="1"/>
    <xf numFmtId="2" fontId="1" fillId="0" borderId="1" xfId="0" applyNumberFormat="1" applyFont="1" applyBorder="1"/>
    <xf numFmtId="0" fontId="1" fillId="22" borderId="1" xfId="0" applyFont="1" applyFill="1" applyBorder="1" applyAlignment="1">
      <alignment horizontal="right"/>
    </xf>
    <xf numFmtId="0" fontId="0" fillId="22" borderId="1" xfId="0" applyFill="1" applyBorder="1"/>
    <xf numFmtId="10" fontId="1" fillId="0" borderId="1" xfId="0" applyNumberFormat="1" applyFont="1" applyBorder="1"/>
    <xf numFmtId="0" fontId="0" fillId="20" borderId="1" xfId="0" applyFill="1" applyBorder="1"/>
    <xf numFmtId="10" fontId="0" fillId="22" borderId="1" xfId="0" applyNumberFormat="1" applyFill="1" applyBorder="1"/>
    <xf numFmtId="0" fontId="15" fillId="20" borderId="0" xfId="0" applyFont="1" applyFill="1"/>
    <xf numFmtId="1" fontId="0" fillId="0" borderId="1" xfId="0" applyNumberFormat="1" applyBorder="1"/>
    <xf numFmtId="1" fontId="0" fillId="22" borderId="1" xfId="0" applyNumberFormat="1" applyFill="1" applyBorder="1"/>
    <xf numFmtId="8" fontId="0" fillId="7" borderId="1" xfId="0" applyNumberFormat="1" applyFill="1" applyBorder="1"/>
    <xf numFmtId="8" fontId="0" fillId="10" borderId="1" xfId="0" applyNumberFormat="1" applyFill="1" applyBorder="1"/>
    <xf numFmtId="0" fontId="0" fillId="15" borderId="1" xfId="0" applyFill="1" applyBorder="1"/>
    <xf numFmtId="0" fontId="0" fillId="0" borderId="2" xfId="0" applyBorder="1"/>
    <xf numFmtId="0" fontId="0" fillId="15" borderId="0" xfId="0" applyFill="1"/>
    <xf numFmtId="9" fontId="0" fillId="7" borderId="1" xfId="0" applyNumberFormat="1" applyFill="1" applyBorder="1"/>
    <xf numFmtId="0" fontId="0" fillId="10" borderId="1" xfId="0" applyFill="1" applyBorder="1"/>
    <xf numFmtId="0" fontId="0" fillId="11" borderId="1" xfId="0" applyFill="1" applyBorder="1"/>
    <xf numFmtId="8" fontId="0" fillId="0" borderId="1" xfId="0" applyNumberFormat="1" applyBorder="1"/>
    <xf numFmtId="0" fontId="0" fillId="23" borderId="1" xfId="0" applyFill="1" applyBorder="1"/>
    <xf numFmtId="14" fontId="0" fillId="0" borderId="1" xfId="0" applyNumberFormat="1" applyBorder="1"/>
    <xf numFmtId="0" fontId="0" fillId="0" borderId="3" xfId="0" applyBorder="1"/>
    <xf numFmtId="9" fontId="0" fillId="0" borderId="3" xfId="0" applyNumberFormat="1" applyBorder="1"/>
    <xf numFmtId="8" fontId="0" fillId="7" borderId="3" xfId="0" applyNumberFormat="1" applyFill="1" applyBorder="1"/>
    <xf numFmtId="10" fontId="0" fillId="10" borderId="1" xfId="0" applyNumberFormat="1" applyFill="1" applyBorder="1"/>
    <xf numFmtId="169" fontId="0" fillId="10" borderId="1" xfId="0" applyNumberFormat="1" applyFill="1" applyBorder="1"/>
    <xf numFmtId="9" fontId="0" fillId="0" borderId="0" xfId="0" applyNumberFormat="1"/>
    <xf numFmtId="1" fontId="0" fillId="0" borderId="0" xfId="0" applyNumberFormat="1"/>
    <xf numFmtId="0" fontId="0" fillId="24" borderId="0" xfId="0" applyFill="1"/>
    <xf numFmtId="0" fontId="1" fillId="24" borderId="0" xfId="0" applyFont="1" applyFill="1"/>
    <xf numFmtId="0" fontId="1" fillId="14" borderId="1" xfId="0" applyFont="1" applyFill="1" applyBorder="1"/>
    <xf numFmtId="0" fontId="1" fillId="16" borderId="1" xfId="0" applyFont="1" applyFill="1" applyBorder="1"/>
    <xf numFmtId="0" fontId="1" fillId="14" borderId="3" xfId="0" applyFont="1" applyFill="1" applyBorder="1"/>
    <xf numFmtId="0" fontId="1" fillId="24" borderId="1" xfId="0" applyFont="1" applyFill="1" applyBorder="1"/>
    <xf numFmtId="0" fontId="0" fillId="8" borderId="0" xfId="0" applyFill="1" applyAlignment="1">
      <alignment horizontal="center"/>
    </xf>
    <xf numFmtId="0" fontId="13" fillId="0" borderId="0" xfId="0" applyFont="1" applyAlignment="1">
      <alignment horizontal="center"/>
    </xf>
    <xf numFmtId="0" fontId="2" fillId="19" borderId="0" xfId="0" applyFont="1" applyFill="1" applyAlignment="1">
      <alignment horizontal="center"/>
    </xf>
    <xf numFmtId="0" fontId="14" fillId="21" borderId="0" xfId="0" applyFont="1" applyFill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1" fillId="14" borderId="1" xfId="0" applyFont="1" applyFill="1" applyBorder="1" applyAlignment="1">
      <alignment horizontal="center"/>
    </xf>
    <xf numFmtId="43" fontId="4" fillId="0" borderId="0" xfId="2" applyNumberFormat="1" applyBorder="1" applyAlignment="1" applyProtection="1">
      <alignment horizontal="center"/>
    </xf>
    <xf numFmtId="43" fontId="2" fillId="4" borderId="0" xfId="5" applyNumberFormat="1" applyFont="1" applyBorder="1" applyAlignment="1">
      <alignment horizontal="center"/>
    </xf>
    <xf numFmtId="0" fontId="0" fillId="0" borderId="2" xfId="0" applyFill="1" applyBorder="1"/>
    <xf numFmtId="8" fontId="0" fillId="0" borderId="2" xfId="0" applyNumberFormat="1" applyFill="1" applyBorder="1"/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'Valuation '!$C$38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'Valuation '!$B$39:$B$48</c:f>
              <c:numCache>
                <c:formatCode>m/d/yyyy</c:formatCode>
                <c:ptCount val="10"/>
                <c:pt idx="0">
                  <c:v>42094</c:v>
                </c:pt>
                <c:pt idx="1">
                  <c:v>42460</c:v>
                </c:pt>
                <c:pt idx="2">
                  <c:v>42825</c:v>
                </c:pt>
                <c:pt idx="3">
                  <c:v>43190</c:v>
                </c:pt>
                <c:pt idx="4">
                  <c:v>43555</c:v>
                </c:pt>
                <c:pt idx="5">
                  <c:v>43921</c:v>
                </c:pt>
                <c:pt idx="6">
                  <c:v>44286</c:v>
                </c:pt>
                <c:pt idx="7">
                  <c:v>44651</c:v>
                </c:pt>
                <c:pt idx="8">
                  <c:v>45016</c:v>
                </c:pt>
                <c:pt idx="9">
                  <c:v>45382</c:v>
                </c:pt>
              </c:numCache>
            </c:numRef>
          </c:cat>
          <c:val>
            <c:numRef>
              <c:f>'Valuation '!$C$39:$C$48</c:f>
              <c:numCache>
                <c:formatCode>General</c:formatCode>
                <c:ptCount val="10"/>
                <c:pt idx="0">
                  <c:v>38817.15</c:v>
                </c:pt>
                <c:pt idx="1">
                  <c:v>39192.1</c:v>
                </c:pt>
                <c:pt idx="2">
                  <c:v>42767.6</c:v>
                </c:pt>
                <c:pt idx="3">
                  <c:v>43448.94</c:v>
                </c:pt>
                <c:pt idx="4">
                  <c:v>48339.58</c:v>
                </c:pt>
                <c:pt idx="5">
                  <c:v>49387.7</c:v>
                </c:pt>
                <c:pt idx="6">
                  <c:v>49257.45</c:v>
                </c:pt>
                <c:pt idx="7">
                  <c:v>60644.54</c:v>
                </c:pt>
                <c:pt idx="8">
                  <c:v>70919.03</c:v>
                </c:pt>
                <c:pt idx="9">
                  <c:v>70866.22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E-4041-A6F7-802516B6A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764495"/>
        <c:axId val="1844680175"/>
      </c:lineChart>
      <c:dateAx>
        <c:axId val="17467644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680175"/>
        <c:crosses val="autoZero"/>
        <c:auto val="1"/>
        <c:lblOffset val="100"/>
        <c:baseTimeUnit val="years"/>
      </c:dateAx>
      <c:valAx>
        <c:axId val="184468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6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'Valuation '!$D$83:$L$83</c:f>
              <c:numCache>
                <c:formatCode>0.00%</c:formatCode>
                <c:ptCount val="9"/>
                <c:pt idx="0">
                  <c:v>-1.2850186365276035E-2</c:v>
                </c:pt>
                <c:pt idx="1">
                  <c:v>5.2086401798415692E-2</c:v>
                </c:pt>
                <c:pt idx="2">
                  <c:v>3.9669097013366461E-2</c:v>
                </c:pt>
                <c:pt idx="3">
                  <c:v>0.17249073466650849</c:v>
                </c:pt>
                <c:pt idx="4">
                  <c:v>0.12073537009805321</c:v>
                </c:pt>
                <c:pt idx="5">
                  <c:v>7.3003047895901757E-2</c:v>
                </c:pt>
                <c:pt idx="6">
                  <c:v>4.0050252205294103E-2</c:v>
                </c:pt>
                <c:pt idx="7">
                  <c:v>6.6841672378907049E-2</c:v>
                </c:pt>
                <c:pt idx="8">
                  <c:v>7.6164536597234905E-2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7C-4399-A4C7-9E53CAA9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692735"/>
        <c:axId val="2036236575"/>
      </c:scatterChart>
      <c:valAx>
        <c:axId val="186069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236575"/>
        <c:crosses val="autoZero"/>
        <c:crossBetween val="midCat"/>
      </c:valAx>
      <c:valAx>
        <c:axId val="203623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9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37</xdr:row>
      <xdr:rowOff>119061</xdr:rowOff>
    </xdr:from>
    <xdr:to>
      <xdr:col>12</xdr:col>
      <xdr:colOff>123824</xdr:colOff>
      <xdr:row>55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FB547-6BB4-F907-11A8-E414C4D2D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95248</xdr:colOff>
      <xdr:row>84</xdr:row>
      <xdr:rowOff>156740</xdr:rowOff>
    </xdr:from>
    <xdr:to>
      <xdr:col>8</xdr:col>
      <xdr:colOff>819873</xdr:colOff>
      <xdr:row>103</xdr:row>
      <xdr:rowOff>24114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A36139-C02B-F56C-366F-5824FEE72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zoomScale="120" zoomScaleNormal="120" zoomScaleSheetLayoutView="100" zoomScalePageLayoutView="120" workbookViewId="0">
      <pane xSplit="1" ySplit="4" topLeftCell="H5" activePane="bottomRight" state="frozen"/>
      <selection activeCell="I2" sqref="I2"/>
      <selection pane="topRight" activeCell="I2" sqref="I2"/>
      <selection pane="bottomLeft" activeCell="I2" sqref="I2"/>
      <selection pane="bottomRight" activeCell="A22" sqref="A22"/>
    </sheetView>
  </sheetViews>
  <sheetFormatPr defaultColWidth="8.85546875" defaultRowHeight="15" x14ac:dyDescent="0.25"/>
  <cols>
    <col min="1" max="1" width="20.7109375" customWidth="1"/>
    <col min="2" max="6" width="13.42578125" customWidth="1"/>
    <col min="7" max="7" width="14.85546875" bestFit="1" customWidth="1"/>
    <col min="8" max="11" width="13.42578125" customWidth="1"/>
    <col min="12" max="12" width="13.28515625" customWidth="1"/>
    <col min="13" max="14" width="12.140625" customWidth="1"/>
  </cols>
  <sheetData>
    <row r="1" spans="1:14" s="2" customFormat="1" x14ac:dyDescent="0.25">
      <c r="A1" s="2" t="str">
        <f>'Data Sheet'!B1</f>
        <v>ITC LTD</v>
      </c>
      <c r="H1" t="str">
        <f>UPDATE</f>
        <v/>
      </c>
      <c r="J1" s="3"/>
      <c r="K1" s="3"/>
      <c r="M1" s="2" t="s">
        <v>1</v>
      </c>
    </row>
    <row r="3" spans="1:14" s="2" customFormat="1" x14ac:dyDescent="0.25">
      <c r="A3" s="11" t="s">
        <v>14</v>
      </c>
      <c r="B3" s="12">
        <f>'Data Sheet'!B16</f>
        <v>42094</v>
      </c>
      <c r="C3" s="12">
        <f>'Data Sheet'!C16</f>
        <v>42460</v>
      </c>
      <c r="D3" s="12">
        <f>'Data Sheet'!D16</f>
        <v>42825</v>
      </c>
      <c r="E3" s="12">
        <f>'Data Sheet'!E16</f>
        <v>43190</v>
      </c>
      <c r="F3" s="12">
        <f>'Data Sheet'!F16</f>
        <v>43555</v>
      </c>
      <c r="G3" s="12">
        <f>'Data Sheet'!G16</f>
        <v>43921</v>
      </c>
      <c r="H3" s="12">
        <f>'Data Sheet'!H16</f>
        <v>44286</v>
      </c>
      <c r="I3" s="12">
        <f>'Data Sheet'!I16</f>
        <v>44651</v>
      </c>
      <c r="J3" s="12">
        <f>'Data Sheet'!J16</f>
        <v>45016</v>
      </c>
      <c r="K3" s="12">
        <f>'Data Sheet'!K16</f>
        <v>45382</v>
      </c>
      <c r="L3" s="13" t="s">
        <v>3</v>
      </c>
      <c r="M3" s="13" t="s">
        <v>4</v>
      </c>
      <c r="N3" s="13" t="s">
        <v>5</v>
      </c>
    </row>
    <row r="4" spans="1:14" s="2" customFormat="1" x14ac:dyDescent="0.25">
      <c r="A4" s="2" t="s">
        <v>6</v>
      </c>
      <c r="B4" s="1">
        <f>'Data Sheet'!B17</f>
        <v>38817.15</v>
      </c>
      <c r="C4" s="1">
        <f>'Data Sheet'!C17</f>
        <v>39192.1</v>
      </c>
      <c r="D4" s="1">
        <f>'Data Sheet'!D17</f>
        <v>42767.6</v>
      </c>
      <c r="E4" s="1">
        <f>'Data Sheet'!E17</f>
        <v>43448.94</v>
      </c>
      <c r="F4" s="1">
        <f>'Data Sheet'!F17</f>
        <v>48339.58</v>
      </c>
      <c r="G4" s="1">
        <f>'Data Sheet'!G17</f>
        <v>49387.7</v>
      </c>
      <c r="H4" s="1">
        <f>'Data Sheet'!H17</f>
        <v>49257.45</v>
      </c>
      <c r="I4" s="1">
        <f>'Data Sheet'!I17</f>
        <v>60644.54</v>
      </c>
      <c r="J4" s="1">
        <f>'Data Sheet'!J17</f>
        <v>70919.03</v>
      </c>
      <c r="K4" s="1">
        <f>'Data Sheet'!K17</f>
        <v>70866.22</v>
      </c>
      <c r="L4" s="1">
        <f>SUM(Quarters!H4:K4)</f>
        <v>75135.27</v>
      </c>
      <c r="M4" s="1">
        <f>$K4+M23*K4</f>
        <v>80000.93248487798</v>
      </c>
      <c r="N4" s="1">
        <f>$K4+N23*L4</f>
        <v>75392.44172303674</v>
      </c>
    </row>
    <row r="5" spans="1:14" x14ac:dyDescent="0.25">
      <c r="A5" t="s">
        <v>7</v>
      </c>
      <c r="B5" s="6">
        <f>SUM('Data Sheet'!B18,'Data Sheet'!B20:B24, -1*'Data Sheet'!B19)</f>
        <v>24565.529999999995</v>
      </c>
      <c r="C5" s="6">
        <f>SUM('Data Sheet'!C18,'Data Sheet'!C20:C24, -1*'Data Sheet'!C19)</f>
        <v>24660.609999999997</v>
      </c>
      <c r="D5" s="6">
        <f>SUM('Data Sheet'!D18,'Data Sheet'!D20:D24, -1*'Data Sheet'!D19)</f>
        <v>27298.09</v>
      </c>
      <c r="E5" s="6">
        <f>SUM('Data Sheet'!E18,'Data Sheet'!E20:E24, -1*'Data Sheet'!E19)</f>
        <v>26928.35</v>
      </c>
      <c r="F5" s="6">
        <f>SUM('Data Sheet'!F18,'Data Sheet'!F20:F24, -1*'Data Sheet'!F19)</f>
        <v>29802.19</v>
      </c>
      <c r="G5" s="6">
        <f>SUM('Data Sheet'!G18,'Data Sheet'!G20:G24, -1*'Data Sheet'!G19)</f>
        <v>30044.16</v>
      </c>
      <c r="H5" s="6">
        <f>SUM('Data Sheet'!H18,'Data Sheet'!H20:H24, -1*'Data Sheet'!H19)</f>
        <v>32192.670000000002</v>
      </c>
      <c r="I5" s="6">
        <f>SUM('Data Sheet'!I18,'Data Sheet'!I20:I24, -1*'Data Sheet'!I19)</f>
        <v>40021.39</v>
      </c>
      <c r="J5" s="6">
        <f>SUM('Data Sheet'!J18,'Data Sheet'!J20:J24, -1*'Data Sheet'!J19)</f>
        <v>45214.770000000004</v>
      </c>
      <c r="K5" s="6">
        <f>SUM('Data Sheet'!K18,'Data Sheet'!K20:K24, -1*'Data Sheet'!K19)</f>
        <v>44633.659999999996</v>
      </c>
      <c r="L5" s="6">
        <f>SUM(Quarters!H5:K5)</f>
        <v>48495.039999999994</v>
      </c>
      <c r="M5" s="6">
        <f t="shared" ref="M5:N5" si="0">M4-M6</f>
        <v>51324.988785708148</v>
      </c>
      <c r="N5" s="6">
        <f t="shared" si="0"/>
        <v>48661.027997321842</v>
      </c>
    </row>
    <row r="6" spans="1:14" s="2" customFormat="1" x14ac:dyDescent="0.25">
      <c r="A6" s="2" t="s">
        <v>8</v>
      </c>
      <c r="B6" s="1">
        <f>B4-B5</f>
        <v>14251.620000000006</v>
      </c>
      <c r="C6" s="1">
        <f t="shared" ref="C6:K6" si="1">C4-C5</f>
        <v>14531.490000000002</v>
      </c>
      <c r="D6" s="1">
        <f t="shared" si="1"/>
        <v>15469.509999999998</v>
      </c>
      <c r="E6" s="1">
        <f t="shared" si="1"/>
        <v>16520.590000000004</v>
      </c>
      <c r="F6" s="1">
        <f t="shared" si="1"/>
        <v>18537.390000000003</v>
      </c>
      <c r="G6" s="1">
        <f t="shared" si="1"/>
        <v>19343.539999999997</v>
      </c>
      <c r="H6" s="1">
        <f t="shared" si="1"/>
        <v>17064.779999999995</v>
      </c>
      <c r="I6" s="1">
        <f t="shared" si="1"/>
        <v>20623.150000000001</v>
      </c>
      <c r="J6" s="1">
        <f t="shared" si="1"/>
        <v>25704.259999999995</v>
      </c>
      <c r="K6" s="1">
        <f t="shared" si="1"/>
        <v>26232.560000000005</v>
      </c>
      <c r="L6" s="1">
        <f>SUM(Quarters!H6:K6)</f>
        <v>26640.23</v>
      </c>
      <c r="M6" s="1">
        <f>M4*M24</f>
        <v>28675.943699169828</v>
      </c>
      <c r="N6" s="1">
        <f>N4*N24</f>
        <v>26731.413725714901</v>
      </c>
    </row>
    <row r="7" spans="1:14" x14ac:dyDescent="0.25">
      <c r="A7" t="s">
        <v>9</v>
      </c>
      <c r="B7" s="6">
        <f>'Data Sheet'!B25</f>
        <v>1229.3499999999999</v>
      </c>
      <c r="C7" s="6">
        <f>'Data Sheet'!C25</f>
        <v>1483.11</v>
      </c>
      <c r="D7" s="6">
        <f>'Data Sheet'!D25</f>
        <v>1758.63</v>
      </c>
      <c r="E7" s="6">
        <f>'Data Sheet'!E25</f>
        <v>2239.81</v>
      </c>
      <c r="F7" s="6">
        <f>'Data Sheet'!F25</f>
        <v>2080.44</v>
      </c>
      <c r="G7" s="6">
        <f>'Data Sheet'!G25</f>
        <v>2417.3200000000002</v>
      </c>
      <c r="H7" s="6">
        <f>'Data Sheet'!H25</f>
        <v>2576.9499999999998</v>
      </c>
      <c r="I7" s="6">
        <f>'Data Sheet'!I25</f>
        <v>1909.72</v>
      </c>
      <c r="J7" s="6">
        <f>'Data Sheet'!J25</f>
        <v>2097.64</v>
      </c>
      <c r="K7" s="6">
        <f>'Data Sheet'!K25</f>
        <v>2803.77</v>
      </c>
      <c r="L7" s="6">
        <f>SUM(Quarters!H7:K7)</f>
        <v>2655.47</v>
      </c>
      <c r="M7" s="6">
        <v>0</v>
      </c>
      <c r="N7" s="6">
        <v>0</v>
      </c>
    </row>
    <row r="8" spans="1:14" x14ac:dyDescent="0.25">
      <c r="A8" t="s">
        <v>10</v>
      </c>
      <c r="B8" s="6">
        <f>'Data Sheet'!B26</f>
        <v>1027.96</v>
      </c>
      <c r="C8" s="6">
        <f>'Data Sheet'!C26</f>
        <v>1077.4000000000001</v>
      </c>
      <c r="D8" s="6">
        <f>'Data Sheet'!D26</f>
        <v>1152.79</v>
      </c>
      <c r="E8" s="6">
        <f>'Data Sheet'!E26</f>
        <v>1236.28</v>
      </c>
      <c r="F8" s="6">
        <f>'Data Sheet'!F26</f>
        <v>1396.61</v>
      </c>
      <c r="G8" s="6">
        <f>'Data Sheet'!G26</f>
        <v>1644.91</v>
      </c>
      <c r="H8" s="6">
        <f>'Data Sheet'!H26</f>
        <v>1645.59</v>
      </c>
      <c r="I8" s="6">
        <f>'Data Sheet'!I26</f>
        <v>1732.41</v>
      </c>
      <c r="J8" s="6">
        <f>'Data Sheet'!J26</f>
        <v>1809.01</v>
      </c>
      <c r="K8" s="6">
        <f>'Data Sheet'!K26</f>
        <v>1816.39</v>
      </c>
      <c r="L8" s="6">
        <f>SUM(Quarters!H8:K8)</f>
        <v>1939.83</v>
      </c>
      <c r="M8" s="6">
        <f>+$L8</f>
        <v>1939.83</v>
      </c>
      <c r="N8" s="6">
        <f>+$L8</f>
        <v>1939.83</v>
      </c>
    </row>
    <row r="9" spans="1:14" x14ac:dyDescent="0.25">
      <c r="A9" t="s">
        <v>11</v>
      </c>
      <c r="B9" s="6">
        <f>'Data Sheet'!B27</f>
        <v>90.96</v>
      </c>
      <c r="C9" s="6">
        <f>'Data Sheet'!C27</f>
        <v>78.13</v>
      </c>
      <c r="D9" s="6">
        <f>'Data Sheet'!D27</f>
        <v>49.03</v>
      </c>
      <c r="E9" s="6">
        <f>'Data Sheet'!E27</f>
        <v>115.01</v>
      </c>
      <c r="F9" s="6">
        <f>'Data Sheet'!F27</f>
        <v>71.400000000000006</v>
      </c>
      <c r="G9" s="6">
        <f>'Data Sheet'!G27</f>
        <v>81.38</v>
      </c>
      <c r="H9" s="6">
        <f>'Data Sheet'!H27</f>
        <v>57.97</v>
      </c>
      <c r="I9" s="6">
        <f>'Data Sheet'!I27</f>
        <v>59.99</v>
      </c>
      <c r="J9" s="6">
        <f>'Data Sheet'!J27</f>
        <v>77.77</v>
      </c>
      <c r="K9" s="6">
        <f>'Data Sheet'!K27</f>
        <v>80.06</v>
      </c>
      <c r="L9" s="6">
        <f>SUM(Quarters!H9:K9)</f>
        <v>53.819999999999993</v>
      </c>
      <c r="M9" s="6">
        <f>+$L9</f>
        <v>53.819999999999993</v>
      </c>
      <c r="N9" s="6">
        <f>+$L9</f>
        <v>53.819999999999993</v>
      </c>
    </row>
    <row r="10" spans="1:14" x14ac:dyDescent="0.25">
      <c r="A10" t="s">
        <v>12</v>
      </c>
      <c r="B10" s="6">
        <f>'Data Sheet'!B28</f>
        <v>14362.05</v>
      </c>
      <c r="C10" s="6">
        <f>'Data Sheet'!C28</f>
        <v>14859.07</v>
      </c>
      <c r="D10" s="6">
        <f>'Data Sheet'!D28</f>
        <v>16026.32</v>
      </c>
      <c r="E10" s="6">
        <f>'Data Sheet'!E28</f>
        <v>17409.11</v>
      </c>
      <c r="F10" s="6">
        <f>'Data Sheet'!F28</f>
        <v>19149.82</v>
      </c>
      <c r="G10" s="6">
        <f>'Data Sheet'!G28</f>
        <v>20034.57</v>
      </c>
      <c r="H10" s="6">
        <f>'Data Sheet'!H28</f>
        <v>17938.169999999998</v>
      </c>
      <c r="I10" s="6">
        <f>'Data Sheet'!I28</f>
        <v>20740.47</v>
      </c>
      <c r="J10" s="6">
        <f>'Data Sheet'!J28</f>
        <v>25915.119999999999</v>
      </c>
      <c r="K10" s="6">
        <f>'Data Sheet'!K28</f>
        <v>27139.88</v>
      </c>
      <c r="L10" s="6">
        <f>SUM(Quarters!H10:K10)</f>
        <v>27302.05</v>
      </c>
      <c r="M10" s="6">
        <f>M6+M7-SUM(M8:M9)</f>
        <v>26682.293699169826</v>
      </c>
      <c r="N10" s="6">
        <f>N6+N7-SUM(N8:N9)</f>
        <v>24737.7637257149</v>
      </c>
    </row>
    <row r="11" spans="1:14" x14ac:dyDescent="0.25">
      <c r="A11" t="s">
        <v>13</v>
      </c>
      <c r="B11" s="6">
        <f>'Data Sheet'!B29</f>
        <v>4596.42</v>
      </c>
      <c r="C11" s="6">
        <f>'Data Sheet'!C29</f>
        <v>5358.21</v>
      </c>
      <c r="D11" s="6">
        <f>'Data Sheet'!D29</f>
        <v>5549.09</v>
      </c>
      <c r="E11" s="6">
        <f>'Data Sheet'!E29</f>
        <v>5916.43</v>
      </c>
      <c r="F11" s="6">
        <f>'Data Sheet'!F29</f>
        <v>6313.92</v>
      </c>
      <c r="G11" s="6">
        <f>'Data Sheet'!G29</f>
        <v>4441.79</v>
      </c>
      <c r="H11" s="6">
        <f>'Data Sheet'!H29</f>
        <v>4555.29</v>
      </c>
      <c r="I11" s="6">
        <f>'Data Sheet'!I29</f>
        <v>5237.34</v>
      </c>
      <c r="J11" s="6">
        <f>'Data Sheet'!J29</f>
        <v>6438.4</v>
      </c>
      <c r="K11" s="6">
        <f>'Data Sheet'!K29</f>
        <v>6388.52</v>
      </c>
      <c r="L11" s="6">
        <f>SUM(Quarters!H11:K11)</f>
        <v>6482.9</v>
      </c>
      <c r="M11" s="7">
        <f>IF($L10&gt;0,$L11/$L10,0)</f>
        <v>0.23745103389672204</v>
      </c>
      <c r="N11" s="7">
        <f>IF($L10&gt;0,$L11/$L10,0)</f>
        <v>0.23745103389672204</v>
      </c>
    </row>
    <row r="12" spans="1:14" s="2" customFormat="1" x14ac:dyDescent="0.25">
      <c r="A12" s="2" t="s">
        <v>14</v>
      </c>
      <c r="B12" s="1">
        <f>'Data Sheet'!B30</f>
        <v>9663.17</v>
      </c>
      <c r="C12" s="1">
        <f>'Data Sheet'!C30</f>
        <v>9344.4500000000007</v>
      </c>
      <c r="D12" s="1">
        <f>'Data Sheet'!D30</f>
        <v>10289.44</v>
      </c>
      <c r="E12" s="1">
        <f>'Data Sheet'!E30</f>
        <v>11271.2</v>
      </c>
      <c r="F12" s="1">
        <f>'Data Sheet'!F30</f>
        <v>12592.33</v>
      </c>
      <c r="G12" s="1">
        <f>'Data Sheet'!G30</f>
        <v>15306.23</v>
      </c>
      <c r="H12" s="1">
        <f>'Data Sheet'!H30</f>
        <v>13161.19</v>
      </c>
      <c r="I12" s="1">
        <f>'Data Sheet'!I30</f>
        <v>15242.66</v>
      </c>
      <c r="J12" s="1">
        <f>'Data Sheet'!J30</f>
        <v>19191.66</v>
      </c>
      <c r="K12" s="1">
        <f>'Data Sheet'!K30</f>
        <v>20458.78</v>
      </c>
      <c r="L12" s="1">
        <f>SUM(Quarters!H12:K12)</f>
        <v>20540.239999999998</v>
      </c>
      <c r="M12" s="1">
        <f>M10-M11*M10</f>
        <v>20346.555473565961</v>
      </c>
      <c r="N12" s="1">
        <f>N10-N11*N10</f>
        <v>18863.75615275107</v>
      </c>
    </row>
    <row r="13" spans="1:14" x14ac:dyDescent="0.25">
      <c r="A13" t="s">
        <v>57</v>
      </c>
      <c r="B13" s="6">
        <f>IF('Data Sheet'!B93&gt;0,B12/'Data Sheet'!B93,0)</f>
        <v>8.0370364209493239</v>
      </c>
      <c r="C13" s="6">
        <f>IF('Data Sheet'!C93&gt;0,C12/'Data Sheet'!C93,0)</f>
        <v>7.7413675978394147</v>
      </c>
      <c r="D13" s="6">
        <f>IF('Data Sheet'!D93&gt;0,D12/'Data Sheet'!D93,0)</f>
        <v>8.4704875117309051</v>
      </c>
      <c r="E13" s="6">
        <f>IF('Data Sheet'!E93&gt;0,E12/'Data Sheet'!E93,0)</f>
        <v>9.2354334128135172</v>
      </c>
      <c r="F13" s="6">
        <f>IF('Data Sheet'!F93&gt;0,F12/'Data Sheet'!F93,0)</f>
        <v>10.272241528396393</v>
      </c>
      <c r="G13" s="6">
        <f>IF('Data Sheet'!G93&gt;0,G12/'Data Sheet'!G93,0)</f>
        <v>12.451985812141032</v>
      </c>
      <c r="H13" s="6">
        <f>IF('Data Sheet'!H93&gt;0,H12/'Data Sheet'!H93,0)</f>
        <v>10.692504549590536</v>
      </c>
      <c r="I13" s="6">
        <f>IF('Data Sheet'!I93&gt;0,I12/'Data Sheet'!I93,0)</f>
        <v>12.368975842509718</v>
      </c>
      <c r="J13" s="6">
        <f>IF('Data Sheet'!J93&gt;0,J12/'Data Sheet'!J93,0)</f>
        <v>15.442275506919859</v>
      </c>
      <c r="K13" s="6">
        <f>IF('Data Sheet'!K93&gt;0,K12/'Data Sheet'!K93,0)</f>
        <v>16.387081788108645</v>
      </c>
      <c r="L13" s="6">
        <f>IF('Data Sheet'!$B6&gt;0,'Profit &amp; Loss'!L12/'Data Sheet'!$B6,0)</f>
        <v>16.417991239186215</v>
      </c>
      <c r="M13" s="6">
        <f>IF('Data Sheet'!$B6&gt;0,'Profit &amp; Loss'!M12/'Data Sheet'!$B6,0)</f>
        <v>16.263177524343547</v>
      </c>
      <c r="N13" s="6">
        <f>IF('Data Sheet'!$B6&gt;0,'Profit &amp; Loss'!N12/'Data Sheet'!$B6,0)</f>
        <v>15.077963220196654</v>
      </c>
    </row>
    <row r="14" spans="1:14" x14ac:dyDescent="0.25">
      <c r="A14" t="s">
        <v>16</v>
      </c>
      <c r="B14" s="6">
        <f>IF(B15&gt;0,B15/B13,"")</f>
        <v>27.028619583428622</v>
      </c>
      <c r="C14" s="6">
        <f t="shared" ref="C14:K14" si="2">IF(C15&gt;0,C15/C13,"")</f>
        <v>28.267615151239504</v>
      </c>
      <c r="D14" s="6">
        <f t="shared" si="2"/>
        <v>33.091365710864736</v>
      </c>
      <c r="E14" s="6">
        <f t="shared" si="2"/>
        <v>27.665187823834195</v>
      </c>
      <c r="F14" s="6">
        <f t="shared" si="2"/>
        <v>28.937208999446483</v>
      </c>
      <c r="G14" s="6">
        <f t="shared" si="2"/>
        <v>13.788965277537315</v>
      </c>
      <c r="H14" s="6">
        <f t="shared" si="2"/>
        <v>20.434875569762308</v>
      </c>
      <c r="I14" s="6">
        <f t="shared" si="2"/>
        <v>20.264410181687449</v>
      </c>
      <c r="J14" s="6">
        <f t="shared" si="2"/>
        <v>24.834422869100429</v>
      </c>
      <c r="K14" s="6">
        <f t="shared" si="2"/>
        <v>26.139492408638247</v>
      </c>
      <c r="L14" s="6">
        <f t="shared" ref="L14" si="3">IF(L13&gt;0,L15/L13,0)</f>
        <v>28.380451250813042</v>
      </c>
      <c r="M14" s="6">
        <f>M25</f>
        <v>28.380451250813042</v>
      </c>
      <c r="N14" s="6">
        <f>N25</f>
        <v>22.307102926256466</v>
      </c>
    </row>
    <row r="15" spans="1:14" s="2" customFormat="1" x14ac:dyDescent="0.25">
      <c r="A15" s="2" t="s">
        <v>58</v>
      </c>
      <c r="B15" s="1">
        <f>'Data Sheet'!B90</f>
        <v>217.23</v>
      </c>
      <c r="C15" s="1">
        <f>'Data Sheet'!C90</f>
        <v>218.83</v>
      </c>
      <c r="D15" s="1">
        <f>'Data Sheet'!D90</f>
        <v>280.3</v>
      </c>
      <c r="E15" s="1">
        <f>'Data Sheet'!E90</f>
        <v>255.5</v>
      </c>
      <c r="F15" s="1">
        <f>'Data Sheet'!F90</f>
        <v>297.25</v>
      </c>
      <c r="G15" s="1">
        <f>'Data Sheet'!G90</f>
        <v>171.7</v>
      </c>
      <c r="H15" s="1">
        <f>'Data Sheet'!H90</f>
        <v>218.5</v>
      </c>
      <c r="I15" s="1">
        <f>'Data Sheet'!I90</f>
        <v>250.65</v>
      </c>
      <c r="J15" s="1">
        <f>'Data Sheet'!J90</f>
        <v>383.5</v>
      </c>
      <c r="K15" s="1">
        <f>'Data Sheet'!K90</f>
        <v>428.35</v>
      </c>
      <c r="L15" s="1">
        <f>'Data Sheet'!B8</f>
        <v>465.95</v>
      </c>
      <c r="M15" s="8">
        <f>M13*M14</f>
        <v>461.55631691295036</v>
      </c>
      <c r="N15" s="9">
        <f>N13*N14</f>
        <v>336.34567747123617</v>
      </c>
    </row>
    <row r="17" spans="1:14" s="2" customFormat="1" x14ac:dyDescent="0.25">
      <c r="A17" s="2" t="s">
        <v>15</v>
      </c>
    </row>
    <row r="18" spans="1:14" x14ac:dyDescent="0.25">
      <c r="A18" t="s">
        <v>17</v>
      </c>
      <c r="B18" s="5">
        <f>IF('Data Sheet'!B30&gt;0, 'Data Sheet'!B31/'Data Sheet'!B30, 0)</f>
        <v>0.51843132222655708</v>
      </c>
      <c r="C18" s="5">
        <f>IF('Data Sheet'!C30&gt;0, 'Data Sheet'!C31/'Data Sheet'!C30, 0)</f>
        <v>0.73199813793214152</v>
      </c>
      <c r="D18" s="5">
        <f>IF('Data Sheet'!D30&gt;0, 'Data Sheet'!D31/'Data Sheet'!D30, 0)</f>
        <v>0.56077104293333746</v>
      </c>
      <c r="E18" s="5">
        <f>IF('Data Sheet'!E30&gt;0, 'Data Sheet'!E31/'Data Sheet'!E30, 0)</f>
        <v>0.55763450209383203</v>
      </c>
      <c r="F18" s="5">
        <f>IF('Data Sheet'!F30&gt;0, 'Data Sheet'!F31/'Data Sheet'!F30, 0)</f>
        <v>0.55976137855345276</v>
      </c>
      <c r="G18" s="5">
        <f>IF('Data Sheet'!G30&gt;0, 'Data Sheet'!G31/'Data Sheet'!G30, 0)</f>
        <v>0.8151308323473514</v>
      </c>
      <c r="H18" s="5">
        <f>IF('Data Sheet'!H30&gt;0, 'Data Sheet'!H31/'Data Sheet'!H30, 0)</f>
        <v>1.0053771733407084</v>
      </c>
      <c r="I18" s="5">
        <f>IF('Data Sheet'!I30&gt;0, 'Data Sheet'!I31/'Data Sheet'!I30, 0)</f>
        <v>0.92974585800641096</v>
      </c>
      <c r="J18" s="5">
        <f>IF('Data Sheet'!J30&gt;0, 'Data Sheet'!J31/'Data Sheet'!J30, 0)</f>
        <v>1.0037380820627295</v>
      </c>
      <c r="K18" s="5">
        <f>IF('Data Sheet'!K30&gt;0, 'Data Sheet'!K31/'Data Sheet'!K30, 0)</f>
        <v>0.83907544829163816</v>
      </c>
    </row>
    <row r="19" spans="1:14" x14ac:dyDescent="0.25">
      <c r="A19" t="s">
        <v>18</v>
      </c>
      <c r="B19" s="5">
        <f t="shared" ref="B19:L19" si="4">IF(B6&gt;0,B6/B4,0)</f>
        <v>0.36714751082962055</v>
      </c>
      <c r="C19" s="5">
        <f t="shared" ref="C19:K19" si="5">IF(C6&gt;0,C6/C4,0)</f>
        <v>0.37077599822413199</v>
      </c>
      <c r="D19" s="5">
        <f t="shared" si="5"/>
        <v>0.36171096811605047</v>
      </c>
      <c r="E19" s="5">
        <f t="shared" si="5"/>
        <v>0.38022998950031928</v>
      </c>
      <c r="F19" s="5">
        <f t="shared" si="5"/>
        <v>0.38348264507056129</v>
      </c>
      <c r="G19" s="5">
        <f t="shared" si="5"/>
        <v>0.39166715599228147</v>
      </c>
      <c r="H19" s="5">
        <f t="shared" si="5"/>
        <v>0.34644058919006154</v>
      </c>
      <c r="I19" s="5">
        <f t="shared" si="5"/>
        <v>0.3400660636555245</v>
      </c>
      <c r="J19" s="5">
        <f t="shared" si="5"/>
        <v>0.36244517162741785</v>
      </c>
      <c r="K19" s="5">
        <f t="shared" si="5"/>
        <v>0.37017016005651215</v>
      </c>
      <c r="L19" s="5">
        <f t="shared" si="4"/>
        <v>0.35456357580135134</v>
      </c>
    </row>
    <row r="20" spans="1:14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25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25">
      <c r="A23"/>
      <c r="B23"/>
      <c r="C23"/>
      <c r="D23"/>
      <c r="E23"/>
      <c r="F23"/>
      <c r="G23" t="s">
        <v>22</v>
      </c>
      <c r="H23" s="5">
        <f>IF(B4=0,"",POWER($K4/B4,1/9)-1)</f>
        <v>6.9168562118728794E-2</v>
      </c>
      <c r="I23" s="5">
        <f>IF(D4=0,"",POWER($K4/D4,1/7)-1)</f>
        <v>7.4810883698475106E-2</v>
      </c>
      <c r="J23" s="5">
        <f>IF(F4=0,"",POWER($K4/F4,1/5)-1)</f>
        <v>7.9511514582520038E-2</v>
      </c>
      <c r="K23" s="5">
        <f>IF(H4=0,"",POWER($K4/H4, 1/3)-1)</f>
        <v>0.12890080047839403</v>
      </c>
      <c r="L23" s="5">
        <f>IF(ISERROR(MAX(IF(J4=0,"",(K4-J4)/J4),IF(K4=0,"",(L4-K4)/K4))),"",MAX(IF(J4=0,"",(K4-J4)/J4),IF(K4=0,"",(L4-K4)/K4)))</f>
        <v>6.0240972356081682E-2</v>
      </c>
      <c r="M23" s="16">
        <f>MAX(K23:L23)</f>
        <v>0.12890080047839403</v>
      </c>
      <c r="N23" s="16">
        <f>MIN(H23:L23)</f>
        <v>6.0240972356081682E-2</v>
      </c>
    </row>
    <row r="24" spans="1:14" x14ac:dyDescent="0.25">
      <c r="G24" t="s">
        <v>18</v>
      </c>
      <c r="H24" s="5">
        <f>IF(SUM(B4:$K$4)=0,"",SUMPRODUCT(B19:$K$19,B4:$K$4)/SUM(B4:$K$4))</f>
        <v>0.36655785446434302</v>
      </c>
      <c r="I24" s="5">
        <f>IF(SUM(E4:$K$4)=0,"",SUMPRODUCT(E19:$K$19,E4:$K$4)/SUM(E4:$K$4))</f>
        <v>0.36660642860499176</v>
      </c>
      <c r="J24" s="5">
        <f>IF(SUM(G4:$K$4)=0,"",SUMPRODUCT(G19:$K$19,G4:$K$4)/SUM(G4:$K$4))</f>
        <v>0.36193078706583809</v>
      </c>
      <c r="K24" s="5">
        <f>IF(SUM(I4:$K$4)=0, "", SUMPRODUCT(I19:$K$19,I4:$K$4)/SUM(I4:$K$4))</f>
        <v>0.35844511818146924</v>
      </c>
      <c r="L24" s="5">
        <f>L19</f>
        <v>0.35456357580135134</v>
      </c>
      <c r="M24" s="16">
        <f>MAX(K24:L24)</f>
        <v>0.35844511818146924</v>
      </c>
      <c r="N24" s="16">
        <f>MIN(H24:L24)</f>
        <v>0.35456357580135134</v>
      </c>
    </row>
    <row r="25" spans="1:14" x14ac:dyDescent="0.25">
      <c r="G25" t="s">
        <v>23</v>
      </c>
      <c r="H25" s="6">
        <f>IF(ISERROR(AVERAGEIF(B14:$L14,"&gt;0")),"",AVERAGEIF(B14:$L14,"&gt;0"))</f>
        <v>25.348419529668391</v>
      </c>
      <c r="I25" s="6">
        <f>IF(ISERROR(AVERAGEIF(E14:$L14,"&gt;0")),"",AVERAGEIF(E14:$L14,"&gt;0"))</f>
        <v>23.805626797602436</v>
      </c>
      <c r="J25" s="6">
        <f>IF(ISERROR(AVERAGEIF(G14:$L14,"&gt;0")),"",AVERAGEIF(G14:$L14,"&gt;0"))</f>
        <v>22.307102926256466</v>
      </c>
      <c r="K25" s="6">
        <f>IF(ISERROR(AVERAGEIF(I14:$L14,"&gt;0")),"",AVERAGEIF(I14:$L14,"&gt;0"))</f>
        <v>24.90469417755979</v>
      </c>
      <c r="L25" s="6">
        <f>L14</f>
        <v>28.380451250813042</v>
      </c>
      <c r="M25" s="1">
        <f>MAX(K25:L25)</f>
        <v>28.380451250813042</v>
      </c>
      <c r="N25" s="1">
        <f>MIN(H25:L25)</f>
        <v>22.307102926256466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912D-1BCC-416D-A4D9-1C03FC060518}">
  <dimension ref="A1:P11"/>
  <sheetViews>
    <sheetView workbookViewId="0">
      <selection sqref="A1:P11"/>
    </sheetView>
  </sheetViews>
  <sheetFormatPr defaultRowHeight="15" x14ac:dyDescent="0.25"/>
  <cols>
    <col min="1" max="1" width="10.42578125" customWidth="1"/>
  </cols>
  <sheetData>
    <row r="1" spans="1:16" x14ac:dyDescent="0.25">
      <c r="A1" s="26" t="s">
        <v>2</v>
      </c>
      <c r="B1" s="27" t="s">
        <v>24</v>
      </c>
      <c r="C1" s="27" t="s">
        <v>25</v>
      </c>
      <c r="D1" s="27" t="s">
        <v>71</v>
      </c>
      <c r="E1" s="27" t="s">
        <v>72</v>
      </c>
      <c r="F1" s="27" t="s">
        <v>26</v>
      </c>
      <c r="G1" s="27"/>
      <c r="H1" s="27" t="s">
        <v>27</v>
      </c>
      <c r="I1" s="27" t="s">
        <v>28</v>
      </c>
      <c r="J1" s="27" t="s">
        <v>29</v>
      </c>
      <c r="K1" s="27" t="s">
        <v>73</v>
      </c>
      <c r="L1" s="27" t="s">
        <v>26</v>
      </c>
      <c r="M1" s="27"/>
      <c r="N1" s="27" t="s">
        <v>30</v>
      </c>
      <c r="O1" s="27" t="s">
        <v>44</v>
      </c>
      <c r="P1" s="27" t="s">
        <v>45</v>
      </c>
    </row>
    <row r="2" spans="1:16" x14ac:dyDescent="0.25">
      <c r="A2" s="25">
        <v>42094</v>
      </c>
      <c r="B2">
        <v>801.55</v>
      </c>
      <c r="C2">
        <v>30933.94</v>
      </c>
      <c r="D2">
        <v>268.8</v>
      </c>
      <c r="E2">
        <v>13947.93</v>
      </c>
      <c r="F2">
        <v>45952.22</v>
      </c>
      <c r="H2">
        <v>15303.28</v>
      </c>
      <c r="I2">
        <v>2700.2</v>
      </c>
      <c r="J2">
        <v>6942.77</v>
      </c>
      <c r="K2">
        <v>21005.97</v>
      </c>
      <c r="L2">
        <v>45952.22</v>
      </c>
      <c r="N2">
        <v>7058.0400000000009</v>
      </c>
      <c r="O2">
        <v>1982.07</v>
      </c>
      <c r="P2">
        <v>8586.8700000000008</v>
      </c>
    </row>
    <row r="3" spans="1:16" x14ac:dyDescent="0.25">
      <c r="A3" s="25">
        <v>42460</v>
      </c>
      <c r="B3">
        <v>804.72</v>
      </c>
      <c r="C3">
        <v>41874.800000000003</v>
      </c>
      <c r="D3">
        <v>83.78</v>
      </c>
      <c r="E3">
        <v>8888.0400000000009</v>
      </c>
      <c r="F3">
        <v>51651.34</v>
      </c>
      <c r="H3">
        <v>15106.63</v>
      </c>
      <c r="I3">
        <v>2559.7199999999998</v>
      </c>
      <c r="J3">
        <v>11747.59</v>
      </c>
      <c r="K3">
        <v>22237.4</v>
      </c>
      <c r="L3">
        <v>51651.34</v>
      </c>
      <c r="N3">
        <v>13349.36</v>
      </c>
      <c r="O3">
        <v>1917.18</v>
      </c>
      <c r="P3">
        <v>9062.1</v>
      </c>
    </row>
    <row r="4" spans="1:16" x14ac:dyDescent="0.25">
      <c r="A4" s="25">
        <v>42825</v>
      </c>
      <c r="B4">
        <v>1214.74</v>
      </c>
      <c r="C4">
        <v>45198.19</v>
      </c>
      <c r="D4">
        <v>45.72</v>
      </c>
      <c r="E4">
        <v>9439.67</v>
      </c>
      <c r="F4">
        <v>55898.32</v>
      </c>
      <c r="H4">
        <v>15893.48</v>
      </c>
      <c r="I4">
        <v>3729.89</v>
      </c>
      <c r="J4">
        <v>17581.38</v>
      </c>
      <c r="K4">
        <v>18693.57</v>
      </c>
      <c r="L4">
        <v>55898.32</v>
      </c>
      <c r="N4">
        <v>9253.9</v>
      </c>
      <c r="O4">
        <v>2474.29</v>
      </c>
      <c r="P4">
        <v>8116.1</v>
      </c>
    </row>
    <row r="5" spans="1:16" x14ac:dyDescent="0.25">
      <c r="A5" s="25">
        <v>43190</v>
      </c>
      <c r="B5">
        <v>1220.43</v>
      </c>
      <c r="C5">
        <v>51289.68</v>
      </c>
      <c r="D5">
        <v>35.92</v>
      </c>
      <c r="E5">
        <v>11694.85</v>
      </c>
      <c r="F5">
        <v>64240.88</v>
      </c>
      <c r="H5">
        <v>16523.96</v>
      </c>
      <c r="I5">
        <v>5508.33</v>
      </c>
      <c r="J5">
        <v>22052.86</v>
      </c>
      <c r="K5">
        <v>20155.73</v>
      </c>
      <c r="L5">
        <v>64240.88</v>
      </c>
      <c r="N5">
        <v>8460.8799999999992</v>
      </c>
      <c r="O5">
        <v>2682.29</v>
      </c>
      <c r="P5">
        <v>7495.09</v>
      </c>
    </row>
    <row r="6" spans="1:16" x14ac:dyDescent="0.25">
      <c r="A6" s="25">
        <v>43555</v>
      </c>
      <c r="B6">
        <v>1225.8599999999999</v>
      </c>
      <c r="C6">
        <v>57915.01</v>
      </c>
      <c r="D6">
        <v>13.44</v>
      </c>
      <c r="E6">
        <v>12584.73</v>
      </c>
      <c r="F6">
        <v>71739.039999999994</v>
      </c>
      <c r="H6">
        <v>19374.189999999999</v>
      </c>
      <c r="I6">
        <v>4136.42</v>
      </c>
      <c r="J6">
        <v>25043.49</v>
      </c>
      <c r="K6">
        <v>23184.94</v>
      </c>
      <c r="L6">
        <v>71739.039999999994</v>
      </c>
      <c r="N6">
        <v>10600.21</v>
      </c>
      <c r="O6">
        <v>4035.28</v>
      </c>
      <c r="P6">
        <v>7859.56</v>
      </c>
    </row>
    <row r="7" spans="1:16" x14ac:dyDescent="0.25">
      <c r="A7" s="25">
        <v>43921</v>
      </c>
      <c r="B7">
        <v>1229.22</v>
      </c>
      <c r="C7">
        <v>64044.04</v>
      </c>
      <c r="D7">
        <v>277.45</v>
      </c>
      <c r="E7">
        <v>11760.04</v>
      </c>
      <c r="F7">
        <v>77310.75</v>
      </c>
      <c r="H7">
        <v>21713.34</v>
      </c>
      <c r="I7">
        <v>3256.46</v>
      </c>
      <c r="J7">
        <v>28663.35</v>
      </c>
      <c r="K7">
        <v>23677.599999999999</v>
      </c>
      <c r="L7">
        <v>77310.75</v>
      </c>
      <c r="N7">
        <v>11917.559999999998</v>
      </c>
      <c r="O7">
        <v>2562.48</v>
      </c>
      <c r="P7">
        <v>8879.33</v>
      </c>
    </row>
    <row r="8" spans="1:16" x14ac:dyDescent="0.25">
      <c r="A8" s="25">
        <v>44286</v>
      </c>
      <c r="B8">
        <v>1230.8800000000001</v>
      </c>
      <c r="C8">
        <v>59116.46</v>
      </c>
      <c r="D8">
        <v>270.83</v>
      </c>
      <c r="E8">
        <v>13142.59</v>
      </c>
      <c r="F8">
        <v>73760.759999999995</v>
      </c>
      <c r="H8">
        <v>23298.48</v>
      </c>
      <c r="I8">
        <v>4011.29</v>
      </c>
      <c r="J8">
        <v>24870.87</v>
      </c>
      <c r="K8">
        <v>21580.12</v>
      </c>
      <c r="L8">
        <v>73760.759999999995</v>
      </c>
      <c r="N8">
        <v>8437.5299999999988</v>
      </c>
      <c r="O8">
        <v>2501.6999999999998</v>
      </c>
      <c r="P8">
        <v>10397.16</v>
      </c>
    </row>
    <row r="9" spans="1:16" x14ac:dyDescent="0.25">
      <c r="A9" s="25">
        <v>44651</v>
      </c>
      <c r="B9">
        <v>1232.33</v>
      </c>
      <c r="C9">
        <v>61223.24</v>
      </c>
      <c r="D9">
        <v>249.44</v>
      </c>
      <c r="E9">
        <v>14491.01</v>
      </c>
      <c r="F9">
        <v>77196.02</v>
      </c>
      <c r="H9">
        <v>24231.59</v>
      </c>
      <c r="I9">
        <v>3225.54</v>
      </c>
      <c r="J9">
        <v>24841.01</v>
      </c>
      <c r="K9">
        <v>24897.88</v>
      </c>
      <c r="L9">
        <v>77196.02</v>
      </c>
      <c r="N9">
        <v>10406.870000000001</v>
      </c>
      <c r="O9">
        <v>2461.9</v>
      </c>
      <c r="P9">
        <v>10864.15</v>
      </c>
    </row>
    <row r="10" spans="1:16" x14ac:dyDescent="0.25">
      <c r="A10" s="25">
        <v>45016</v>
      </c>
      <c r="B10">
        <v>1242.8</v>
      </c>
      <c r="C10">
        <v>67912.460000000006</v>
      </c>
      <c r="D10">
        <v>306.04000000000002</v>
      </c>
      <c r="E10">
        <v>16369.66</v>
      </c>
      <c r="F10">
        <v>85830.96</v>
      </c>
      <c r="H10">
        <v>25851.27</v>
      </c>
      <c r="I10">
        <v>3003.3</v>
      </c>
      <c r="J10">
        <v>29415.02</v>
      </c>
      <c r="K10">
        <v>27561.37</v>
      </c>
      <c r="L10">
        <v>85830.96</v>
      </c>
      <c r="N10">
        <v>11191.71</v>
      </c>
      <c r="O10">
        <v>2956.17</v>
      </c>
      <c r="P10">
        <v>11771.16</v>
      </c>
    </row>
    <row r="11" spans="1:16" x14ac:dyDescent="0.25">
      <c r="A11" s="25">
        <v>45382</v>
      </c>
      <c r="B11">
        <v>1248.47</v>
      </c>
      <c r="C11">
        <v>73258.53</v>
      </c>
      <c r="D11">
        <v>303.43</v>
      </c>
      <c r="E11">
        <v>16943.54</v>
      </c>
      <c r="F11">
        <v>91753.97</v>
      </c>
      <c r="H11">
        <v>27820.22</v>
      </c>
      <c r="I11">
        <v>2860.78</v>
      </c>
      <c r="J11">
        <v>31114.02</v>
      </c>
      <c r="K11">
        <v>29958.95</v>
      </c>
      <c r="L11">
        <v>91753.97</v>
      </c>
      <c r="N11">
        <v>13015.41</v>
      </c>
      <c r="O11">
        <v>4025.82</v>
      </c>
      <c r="P11">
        <v>14152.88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8"/>
  <sheetViews>
    <sheetView zoomScale="150" zoomScaleNormal="150" zoomScalePageLayoutView="15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85546875" defaultRowHeight="15" x14ac:dyDescent="0.25"/>
  <cols>
    <col min="1" max="1" width="26.85546875" bestFit="1" customWidth="1"/>
    <col min="2" max="6" width="13.42578125" customWidth="1"/>
    <col min="7" max="11" width="13.42578125" bestFit="1" customWidth="1"/>
  </cols>
  <sheetData>
    <row r="1" spans="1:11" s="2" customFormat="1" x14ac:dyDescent="0.25">
      <c r="A1" s="2" t="str">
        <f>'Balance Sheet'!A1</f>
        <v>ITC LTD</v>
      </c>
      <c r="E1" t="str">
        <f>UPDATE</f>
        <v/>
      </c>
      <c r="F1"/>
      <c r="J1" s="2" t="s">
        <v>1</v>
      </c>
    </row>
    <row r="3" spans="1:11" s="2" customFormat="1" x14ac:dyDescent="0.25">
      <c r="A3" s="11" t="s">
        <v>2</v>
      </c>
      <c r="B3" s="12">
        <f>'Data Sheet'!B81</f>
        <v>42094</v>
      </c>
      <c r="C3" s="12">
        <f>'Data Sheet'!C81</f>
        <v>42460</v>
      </c>
      <c r="D3" s="12">
        <f>'Data Sheet'!D81</f>
        <v>42825</v>
      </c>
      <c r="E3" s="12">
        <f>'Data Sheet'!E81</f>
        <v>43190</v>
      </c>
      <c r="F3" s="12">
        <f>'Data Sheet'!F81</f>
        <v>43555</v>
      </c>
      <c r="G3" s="12">
        <f>'Data Sheet'!G81</f>
        <v>43921</v>
      </c>
      <c r="H3" s="12">
        <f>'Data Sheet'!H81</f>
        <v>44286</v>
      </c>
      <c r="I3" s="12">
        <f>'Data Sheet'!I81</f>
        <v>44651</v>
      </c>
      <c r="J3" s="12">
        <f>'Data Sheet'!J81</f>
        <v>45016</v>
      </c>
      <c r="K3" s="12">
        <f>'Data Sheet'!K81</f>
        <v>45382</v>
      </c>
    </row>
    <row r="4" spans="1:11" s="2" customFormat="1" x14ac:dyDescent="0.25">
      <c r="A4" s="2" t="s">
        <v>32</v>
      </c>
      <c r="B4" s="1">
        <f>'Data Sheet'!B82</f>
        <v>9843.2000000000007</v>
      </c>
      <c r="C4" s="1">
        <f>'Data Sheet'!C82</f>
        <v>9799.0400000000009</v>
      </c>
      <c r="D4" s="1">
        <f>'Data Sheet'!D82</f>
        <v>10627.31</v>
      </c>
      <c r="E4" s="1">
        <f>'Data Sheet'!E82</f>
        <v>13169.4</v>
      </c>
      <c r="F4" s="1">
        <f>'Data Sheet'!F82</f>
        <v>12583.41</v>
      </c>
      <c r="G4" s="1">
        <f>'Data Sheet'!G82</f>
        <v>14689.66</v>
      </c>
      <c r="H4" s="1">
        <f>'Data Sheet'!H82</f>
        <v>12526.97</v>
      </c>
      <c r="I4" s="1">
        <f>'Data Sheet'!I82</f>
        <v>15775.51</v>
      </c>
      <c r="J4" s="1">
        <f>'Data Sheet'!J82</f>
        <v>18877.55</v>
      </c>
      <c r="K4" s="1">
        <f>'Data Sheet'!K82</f>
        <v>17178.86</v>
      </c>
    </row>
    <row r="5" spans="1:11" x14ac:dyDescent="0.25">
      <c r="A5" t="s">
        <v>33</v>
      </c>
      <c r="B5" s="6">
        <f>'Data Sheet'!B83</f>
        <v>-5275.43</v>
      </c>
      <c r="C5" s="6">
        <f>'Data Sheet'!C83</f>
        <v>-3920.73</v>
      </c>
      <c r="D5" s="6">
        <f>'Data Sheet'!D83</f>
        <v>-3250.93</v>
      </c>
      <c r="E5" s="6">
        <f>'Data Sheet'!E83</f>
        <v>-7113.89</v>
      </c>
      <c r="F5" s="6">
        <f>'Data Sheet'!F83</f>
        <v>-5545.68</v>
      </c>
      <c r="G5" s="6">
        <f>'Data Sheet'!G83</f>
        <v>-6174.02</v>
      </c>
      <c r="H5" s="6">
        <f>'Data Sheet'!H83</f>
        <v>5739.98</v>
      </c>
      <c r="I5" s="6">
        <f>'Data Sheet'!I83</f>
        <v>-2238.4899999999998</v>
      </c>
      <c r="J5" s="6">
        <f>'Data Sheet'!J83</f>
        <v>-5732.29</v>
      </c>
      <c r="K5" s="6">
        <f>'Data Sheet'!K83</f>
        <v>1562.77</v>
      </c>
    </row>
    <row r="6" spans="1:11" x14ac:dyDescent="0.25">
      <c r="A6" t="s">
        <v>34</v>
      </c>
      <c r="B6" s="6">
        <f>'Data Sheet'!B84</f>
        <v>-4661.03</v>
      </c>
      <c r="C6" s="6">
        <f>'Data Sheet'!C84</f>
        <v>-5612.52</v>
      </c>
      <c r="D6" s="6">
        <f>'Data Sheet'!D84</f>
        <v>-7301.03</v>
      </c>
      <c r="E6" s="6">
        <f>'Data Sheet'!E84</f>
        <v>-6221.13</v>
      </c>
      <c r="F6" s="6">
        <f>'Data Sheet'!F84</f>
        <v>-6868.64</v>
      </c>
      <c r="G6" s="6">
        <f>'Data Sheet'!G84</f>
        <v>-8181.48</v>
      </c>
      <c r="H6" s="6">
        <f>'Data Sheet'!H84</f>
        <v>-18633.830000000002</v>
      </c>
      <c r="I6" s="6">
        <f>'Data Sheet'!I84</f>
        <v>-13580.5</v>
      </c>
      <c r="J6" s="6">
        <f>'Data Sheet'!J84</f>
        <v>-13006.03</v>
      </c>
      <c r="K6" s="6">
        <f>'Data Sheet'!K84</f>
        <v>-18550.96</v>
      </c>
    </row>
    <row r="7" spans="1:11" s="2" customFormat="1" x14ac:dyDescent="0.25">
      <c r="A7" s="2" t="s">
        <v>35</v>
      </c>
      <c r="B7" s="1">
        <f>'Data Sheet'!B85</f>
        <v>-93.26</v>
      </c>
      <c r="C7" s="1">
        <f>'Data Sheet'!C85</f>
        <v>265.79000000000002</v>
      </c>
      <c r="D7" s="1">
        <f>'Data Sheet'!D85</f>
        <v>75.349999999999994</v>
      </c>
      <c r="E7" s="1">
        <f>'Data Sheet'!E85</f>
        <v>-165.62</v>
      </c>
      <c r="F7" s="1">
        <f>'Data Sheet'!F85</f>
        <v>169.09</v>
      </c>
      <c r="G7" s="1">
        <f>'Data Sheet'!G85</f>
        <v>334.16</v>
      </c>
      <c r="H7" s="1">
        <f>'Data Sheet'!H85</f>
        <v>-366.88</v>
      </c>
      <c r="I7" s="1">
        <f>'Data Sheet'!I85</f>
        <v>-43.48</v>
      </c>
      <c r="J7" s="1">
        <f>'Data Sheet'!J85</f>
        <v>139.22999999999999</v>
      </c>
      <c r="K7" s="1">
        <f>'Data Sheet'!K85</f>
        <v>190.67</v>
      </c>
    </row>
    <row r="8" spans="1:11" x14ac:dyDescent="0.25">
      <c r="B8" s="6"/>
      <c r="C8" s="6"/>
      <c r="D8" s="6"/>
      <c r="E8" s="6"/>
      <c r="F8" s="6"/>
      <c r="G8" s="6"/>
      <c r="H8" s="6"/>
      <c r="I8" s="6"/>
      <c r="J8" s="6"/>
      <c r="K8" s="6"/>
    </row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32"/>
  <sheetViews>
    <sheetView showGridLines="0" topLeftCell="E11" zoomScale="88" zoomScaleNormal="150" zoomScalePageLayoutView="150" workbookViewId="0">
      <selection activeCell="S20" sqref="S20"/>
    </sheetView>
  </sheetViews>
  <sheetFormatPr defaultColWidth="8.85546875" defaultRowHeight="15" x14ac:dyDescent="0.25"/>
  <cols>
    <col min="1" max="1" width="8.85546875" style="2"/>
    <col min="2" max="2" width="10.42578125" customWidth="1"/>
    <col min="3" max="3" width="13.28515625" style="20" customWidth="1"/>
    <col min="6" max="6" width="6.85546875" customWidth="1"/>
  </cols>
  <sheetData>
    <row r="1" spans="1:22" ht="21" x14ac:dyDescent="0.35">
      <c r="A1" s="19" t="s">
        <v>56</v>
      </c>
    </row>
    <row r="3" spans="1:22" x14ac:dyDescent="0.25">
      <c r="A3" s="2" t="s">
        <v>48</v>
      </c>
    </row>
    <row r="4" spans="1:22" x14ac:dyDescent="0.25">
      <c r="B4" t="s">
        <v>90</v>
      </c>
    </row>
    <row r="5" spans="1:22" x14ac:dyDescent="0.25">
      <c r="B5" t="s">
        <v>49</v>
      </c>
    </row>
    <row r="7" spans="1:22" x14ac:dyDescent="0.25">
      <c r="A7" s="2" t="s">
        <v>50</v>
      </c>
    </row>
    <row r="8" spans="1:22" x14ac:dyDescent="0.25">
      <c r="B8" t="s">
        <v>51</v>
      </c>
      <c r="C8" s="21" t="s">
        <v>91</v>
      </c>
    </row>
    <row r="10" spans="1:22" x14ac:dyDescent="0.25">
      <c r="A10" s="2" t="s">
        <v>52</v>
      </c>
    </row>
    <row r="11" spans="1:22" x14ac:dyDescent="0.25">
      <c r="B11" t="s">
        <v>53</v>
      </c>
    </row>
    <row r="12" spans="1:22" x14ac:dyDescent="0.25">
      <c r="S12" t="s">
        <v>314</v>
      </c>
      <c r="T12">
        <v>650</v>
      </c>
      <c r="U12">
        <v>3</v>
      </c>
      <c r="V12">
        <f>T12/U12</f>
        <v>216.66666666666666</v>
      </c>
    </row>
    <row r="13" spans="1:22" x14ac:dyDescent="0.25">
      <c r="S13" t="s">
        <v>315</v>
      </c>
      <c r="T13">
        <v>1586</v>
      </c>
      <c r="U13">
        <v>4</v>
      </c>
      <c r="V13">
        <f>T13/U13</f>
        <v>396.5</v>
      </c>
    </row>
    <row r="14" spans="1:22" x14ac:dyDescent="0.25">
      <c r="A14" s="2" t="s">
        <v>54</v>
      </c>
    </row>
    <row r="15" spans="1:22" x14ac:dyDescent="0.25">
      <c r="B15" t="s">
        <v>55</v>
      </c>
    </row>
    <row r="16" spans="1:22" x14ac:dyDescent="0.25">
      <c r="B16" t="s">
        <v>92</v>
      </c>
      <c r="G16" s="22"/>
      <c r="L16" t="s">
        <v>314</v>
      </c>
      <c r="O16" t="s">
        <v>315</v>
      </c>
    </row>
    <row r="17" spans="8:16" x14ac:dyDescent="0.25">
      <c r="L17">
        <v>650</v>
      </c>
      <c r="M17">
        <v>3</v>
      </c>
      <c r="O17">
        <v>1586</v>
      </c>
      <c r="P17">
        <v>4</v>
      </c>
    </row>
    <row r="18" spans="8:16" x14ac:dyDescent="0.25">
      <c r="M18" s="92">
        <v>216</v>
      </c>
      <c r="O18">
        <f>O17/P17</f>
        <v>396.5</v>
      </c>
    </row>
    <row r="19" spans="8:16" x14ac:dyDescent="0.25">
      <c r="H19" s="93"/>
      <c r="I19" s="110" t="s">
        <v>324</v>
      </c>
      <c r="J19" s="110"/>
      <c r="K19" s="110"/>
      <c r="L19" s="110"/>
      <c r="M19" s="110"/>
      <c r="N19" s="93"/>
      <c r="O19">
        <f>P19*P17</f>
        <v>1600</v>
      </c>
      <c r="P19">
        <v>400</v>
      </c>
    </row>
    <row r="20" spans="8:16" x14ac:dyDescent="0.25">
      <c r="H20" s="93"/>
      <c r="I20" s="95"/>
      <c r="J20" s="96" t="s">
        <v>316</v>
      </c>
      <c r="K20" s="96" t="s">
        <v>317</v>
      </c>
      <c r="L20" s="96" t="s">
        <v>318</v>
      </c>
      <c r="M20" s="96" t="s">
        <v>319</v>
      </c>
      <c r="N20" s="93"/>
    </row>
    <row r="21" spans="8:16" x14ac:dyDescent="0.25">
      <c r="H21" s="93"/>
      <c r="I21" s="95" t="s">
        <v>320</v>
      </c>
      <c r="J21" s="98">
        <v>216</v>
      </c>
      <c r="K21" s="98">
        <f>M18</f>
        <v>216</v>
      </c>
      <c r="L21" s="98">
        <f>M18</f>
        <v>216</v>
      </c>
      <c r="M21" s="98"/>
      <c r="N21" s="93"/>
    </row>
    <row r="22" spans="8:16" x14ac:dyDescent="0.25">
      <c r="H22" s="93"/>
      <c r="I22" s="95" t="s">
        <v>321</v>
      </c>
      <c r="J22" s="98">
        <v>400</v>
      </c>
      <c r="K22" s="98">
        <v>400</v>
      </c>
      <c r="L22" s="98">
        <v>400</v>
      </c>
      <c r="M22" s="98">
        <v>400</v>
      </c>
      <c r="N22" s="93"/>
    </row>
    <row r="23" spans="8:16" x14ac:dyDescent="0.25">
      <c r="H23" s="93"/>
      <c r="I23" s="95"/>
      <c r="J23" s="98">
        <f>J22+J21</f>
        <v>616</v>
      </c>
      <c r="K23" s="98">
        <f>K22+K21</f>
        <v>616</v>
      </c>
      <c r="L23" s="98">
        <f>L22+L21</f>
        <v>616</v>
      </c>
      <c r="M23" s="98">
        <f>M22+M21</f>
        <v>400</v>
      </c>
      <c r="N23" s="93"/>
    </row>
    <row r="24" spans="8:16" x14ac:dyDescent="0.25">
      <c r="H24" s="93"/>
      <c r="I24" s="97" t="s">
        <v>322</v>
      </c>
      <c r="J24" s="98">
        <v>2000</v>
      </c>
      <c r="K24" s="98">
        <v>650</v>
      </c>
      <c r="L24" s="98">
        <v>0</v>
      </c>
      <c r="M24" s="98">
        <v>0</v>
      </c>
      <c r="N24" s="93"/>
    </row>
    <row r="25" spans="8:16" x14ac:dyDescent="0.25">
      <c r="H25" s="93"/>
      <c r="I25" s="97" t="s">
        <v>323</v>
      </c>
      <c r="J25" s="98">
        <f>J24-J23</f>
        <v>1384</v>
      </c>
      <c r="K25" s="98">
        <f>K24-K23</f>
        <v>34</v>
      </c>
      <c r="L25" s="98">
        <f>L23</f>
        <v>616</v>
      </c>
      <c r="M25" s="98">
        <f>M23</f>
        <v>400</v>
      </c>
      <c r="N25" s="93"/>
    </row>
    <row r="26" spans="8:16" x14ac:dyDescent="0.25">
      <c r="H26" s="93"/>
      <c r="I26" s="94"/>
      <c r="J26" s="94"/>
      <c r="K26" s="94"/>
      <c r="L26" s="94"/>
      <c r="M26" s="94"/>
      <c r="N26" s="93"/>
    </row>
    <row r="27" spans="8:16" x14ac:dyDescent="0.25">
      <c r="I27">
        <v>900</v>
      </c>
      <c r="J27">
        <f>J25-I27</f>
        <v>484</v>
      </c>
      <c r="L27">
        <v>617</v>
      </c>
    </row>
    <row r="28" spans="8:16" x14ac:dyDescent="0.25">
      <c r="L28">
        <f>L27-K25</f>
        <v>583</v>
      </c>
    </row>
    <row r="29" spans="8:16" x14ac:dyDescent="0.25">
      <c r="J29">
        <v>400</v>
      </c>
    </row>
    <row r="30" spans="8:16" x14ac:dyDescent="0.25">
      <c r="J30">
        <v>616</v>
      </c>
    </row>
    <row r="31" spans="8:16" x14ac:dyDescent="0.25">
      <c r="J31">
        <f>J30+J29</f>
        <v>1016</v>
      </c>
    </row>
    <row r="32" spans="8:16" x14ac:dyDescent="0.25">
      <c r="J32">
        <f>J31-J25</f>
        <v>-368</v>
      </c>
    </row>
  </sheetData>
  <mergeCells count="1">
    <mergeCell ref="I19:M19"/>
  </mergeCells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91" zoomScaleNormal="120" zoomScalePageLayoutView="120" workbookViewId="0">
      <pane xSplit="1" ySplit="1" topLeftCell="B7" activePane="bottomRight" state="frozen"/>
      <selection activeCell="C4" sqref="C4"/>
      <selection pane="topRight" activeCell="C4" sqref="C4"/>
      <selection pane="bottomLeft" activeCell="C4" sqref="C4"/>
      <selection pane="bottomRight" activeCell="B6" sqref="B6"/>
    </sheetView>
  </sheetViews>
  <sheetFormatPr defaultColWidth="8.85546875" defaultRowHeight="15" x14ac:dyDescent="0.25"/>
  <cols>
    <col min="1" max="1" width="27.7109375" style="4" bestFit="1" customWidth="1"/>
    <col min="2" max="11" width="13.42578125" style="4" bestFit="1" customWidth="1"/>
    <col min="12" max="16384" width="8.85546875" style="4"/>
  </cols>
  <sheetData>
    <row r="1" spans="1:11" s="1" customFormat="1" x14ac:dyDescent="0.25">
      <c r="A1" s="1" t="s">
        <v>0</v>
      </c>
      <c r="B1" s="1" t="s">
        <v>63</v>
      </c>
      <c r="E1" s="111" t="str">
        <f>IF(B2&lt;&gt;B3, "A NEW VERSION OF THE WORKSHEET IS AVAILABLE", "")</f>
        <v/>
      </c>
      <c r="F1" s="111"/>
      <c r="G1" s="111"/>
      <c r="H1" s="111"/>
      <c r="I1" s="111"/>
      <c r="J1" s="111"/>
      <c r="K1" s="111"/>
    </row>
    <row r="2" spans="1:11" x14ac:dyDescent="0.25">
      <c r="A2" s="1" t="s">
        <v>61</v>
      </c>
      <c r="B2" s="4">
        <v>2.1</v>
      </c>
      <c r="E2" s="112" t="s">
        <v>36</v>
      </c>
      <c r="F2" s="112"/>
      <c r="G2" s="112"/>
      <c r="H2" s="112"/>
      <c r="I2" s="112"/>
      <c r="J2" s="112"/>
      <c r="K2" s="112"/>
    </row>
    <row r="3" spans="1:11" x14ac:dyDescent="0.25">
      <c r="A3" s="1" t="s">
        <v>62</v>
      </c>
      <c r="B3" s="4">
        <v>2.1</v>
      </c>
    </row>
    <row r="4" spans="1:11" x14ac:dyDescent="0.25">
      <c r="A4" s="1"/>
    </row>
    <row r="5" spans="1:11" x14ac:dyDescent="0.25">
      <c r="A5" s="1" t="s">
        <v>64</v>
      </c>
    </row>
    <row r="6" spans="1:11" x14ac:dyDescent="0.25">
      <c r="A6" s="4" t="s">
        <v>42</v>
      </c>
      <c r="B6" s="4">
        <f>IF(B9&gt;0, B9/B8, 0)</f>
        <v>1251.0811889687736</v>
      </c>
    </row>
    <row r="7" spans="1:11" x14ac:dyDescent="0.25">
      <c r="A7" s="4" t="s">
        <v>31</v>
      </c>
      <c r="B7">
        <v>1</v>
      </c>
    </row>
    <row r="8" spans="1:11" x14ac:dyDescent="0.25">
      <c r="A8" s="4" t="s">
        <v>43</v>
      </c>
      <c r="B8">
        <v>465.95</v>
      </c>
    </row>
    <row r="9" spans="1:11" x14ac:dyDescent="0.25">
      <c r="A9" s="4" t="s">
        <v>79</v>
      </c>
      <c r="B9">
        <v>582941.28</v>
      </c>
    </row>
    <row r="15" spans="1:11" x14ac:dyDescent="0.25">
      <c r="A15" s="1" t="s">
        <v>37</v>
      </c>
    </row>
    <row r="16" spans="1:11" s="18" customFormat="1" x14ac:dyDescent="0.25">
      <c r="A16" s="17" t="s">
        <v>38</v>
      </c>
      <c r="B16" s="12">
        <v>42094</v>
      </c>
      <c r="C16" s="12">
        <v>42460</v>
      </c>
      <c r="D16" s="12">
        <v>42825</v>
      </c>
      <c r="E16" s="12">
        <v>43190</v>
      </c>
      <c r="F16" s="12">
        <v>43555</v>
      </c>
      <c r="G16" s="12">
        <v>43921</v>
      </c>
      <c r="H16" s="12">
        <v>44286</v>
      </c>
      <c r="I16" s="12">
        <v>44651</v>
      </c>
      <c r="J16" s="12">
        <v>45016</v>
      </c>
      <c r="K16" s="12">
        <v>45382</v>
      </c>
    </row>
    <row r="17" spans="1:11" s="6" customFormat="1" x14ac:dyDescent="0.25">
      <c r="A17" s="6" t="s">
        <v>6</v>
      </c>
      <c r="B17">
        <v>38817.15</v>
      </c>
      <c r="C17">
        <v>39192.1</v>
      </c>
      <c r="D17">
        <v>42767.6</v>
      </c>
      <c r="E17">
        <v>43448.94</v>
      </c>
      <c r="F17">
        <v>48339.58</v>
      </c>
      <c r="G17">
        <v>49387.7</v>
      </c>
      <c r="H17">
        <v>49257.45</v>
      </c>
      <c r="I17">
        <v>60644.54</v>
      </c>
      <c r="J17">
        <v>70919.03</v>
      </c>
      <c r="K17">
        <v>70866.22</v>
      </c>
    </row>
    <row r="18" spans="1:11" s="6" customFormat="1" x14ac:dyDescent="0.25">
      <c r="A18" s="4" t="s">
        <v>80</v>
      </c>
      <c r="B18">
        <v>15007.9</v>
      </c>
      <c r="C18">
        <v>13763.88</v>
      </c>
      <c r="D18">
        <v>15456.59</v>
      </c>
      <c r="E18">
        <v>14827.72</v>
      </c>
      <c r="F18">
        <v>17623.52</v>
      </c>
      <c r="G18">
        <v>18048.599999999999</v>
      </c>
      <c r="H18">
        <v>20776.71</v>
      </c>
      <c r="I18">
        <v>27071.07</v>
      </c>
      <c r="J18">
        <v>29364.36</v>
      </c>
      <c r="K18">
        <v>27835.9</v>
      </c>
    </row>
    <row r="19" spans="1:11" s="6" customFormat="1" x14ac:dyDescent="0.25">
      <c r="A19" s="4" t="s">
        <v>81</v>
      </c>
      <c r="B19">
        <v>235.72</v>
      </c>
      <c r="C19">
        <v>195.38</v>
      </c>
      <c r="D19">
        <v>-592.57000000000005</v>
      </c>
      <c r="E19">
        <v>-1027.76</v>
      </c>
      <c r="F19">
        <v>203.19</v>
      </c>
      <c r="G19">
        <v>703.13</v>
      </c>
      <c r="H19">
        <v>645.27</v>
      </c>
      <c r="I19">
        <v>686</v>
      </c>
      <c r="J19">
        <v>358.59</v>
      </c>
      <c r="K19">
        <v>588.69000000000005</v>
      </c>
    </row>
    <row r="20" spans="1:11" s="6" customFormat="1" x14ac:dyDescent="0.25">
      <c r="A20" s="4" t="s">
        <v>82</v>
      </c>
      <c r="B20">
        <v>610.66999999999996</v>
      </c>
      <c r="C20">
        <v>571.88</v>
      </c>
      <c r="D20">
        <v>584.33000000000004</v>
      </c>
      <c r="E20">
        <v>653.5</v>
      </c>
      <c r="F20">
        <v>746.73</v>
      </c>
      <c r="G20">
        <v>780.85</v>
      </c>
      <c r="H20">
        <v>699.56</v>
      </c>
      <c r="I20">
        <v>889.77</v>
      </c>
      <c r="J20">
        <v>1232.3399999999999</v>
      </c>
      <c r="K20">
        <v>1120.25</v>
      </c>
    </row>
    <row r="21" spans="1:11" s="6" customFormat="1" x14ac:dyDescent="0.25">
      <c r="A21" s="4" t="s">
        <v>83</v>
      </c>
      <c r="B21">
        <v>1533.25</v>
      </c>
      <c r="C21">
        <v>1581.59</v>
      </c>
      <c r="D21">
        <v>1683.9</v>
      </c>
      <c r="E21">
        <v>1697.62</v>
      </c>
      <c r="F21">
        <v>1871.01</v>
      </c>
      <c r="G21">
        <v>1908.29</v>
      </c>
      <c r="H21">
        <v>1587.18</v>
      </c>
      <c r="I21">
        <v>1887.67</v>
      </c>
      <c r="J21">
        <v>2327.8000000000002</v>
      </c>
      <c r="K21">
        <v>2513.67</v>
      </c>
    </row>
    <row r="22" spans="1:11" s="6" customFormat="1" x14ac:dyDescent="0.25">
      <c r="A22" s="4" t="s">
        <v>84</v>
      </c>
      <c r="B22">
        <v>2772.28</v>
      </c>
      <c r="C22">
        <v>3440.97</v>
      </c>
      <c r="D22">
        <v>3631.73</v>
      </c>
      <c r="E22">
        <v>3760.9</v>
      </c>
      <c r="F22">
        <v>4177.88</v>
      </c>
      <c r="G22">
        <v>4295.79</v>
      </c>
      <c r="H22">
        <v>4463.33</v>
      </c>
      <c r="I22">
        <v>4890.55</v>
      </c>
      <c r="J22">
        <v>5736.22</v>
      </c>
      <c r="K22">
        <v>6134.35</v>
      </c>
    </row>
    <row r="23" spans="1:11" s="6" customFormat="1" x14ac:dyDescent="0.25">
      <c r="A23" s="4" t="s">
        <v>85</v>
      </c>
      <c r="B23">
        <v>3876.19</v>
      </c>
      <c r="C23">
        <v>4261.78</v>
      </c>
      <c r="D23">
        <v>4179.74</v>
      </c>
      <c r="E23">
        <v>3954.87</v>
      </c>
      <c r="F23">
        <v>4546.3900000000003</v>
      </c>
      <c r="G23">
        <v>4488.63</v>
      </c>
      <c r="H23">
        <v>4236.7700000000004</v>
      </c>
      <c r="I23">
        <v>4858.38</v>
      </c>
      <c r="J23">
        <v>5604.08</v>
      </c>
      <c r="K23">
        <v>6178.63</v>
      </c>
    </row>
    <row r="24" spans="1:11" s="6" customFormat="1" x14ac:dyDescent="0.25">
      <c r="A24" s="4" t="s">
        <v>86</v>
      </c>
      <c r="B24">
        <v>1000.96</v>
      </c>
      <c r="C24">
        <v>1235.8900000000001</v>
      </c>
      <c r="D24">
        <v>1169.23</v>
      </c>
      <c r="E24">
        <v>1005.98</v>
      </c>
      <c r="F24">
        <v>1039.8499999999999</v>
      </c>
      <c r="G24">
        <v>1225.1300000000001</v>
      </c>
      <c r="H24">
        <v>1074.3900000000001</v>
      </c>
      <c r="I24">
        <v>1109.95</v>
      </c>
      <c r="J24">
        <v>1308.56</v>
      </c>
      <c r="K24">
        <v>1439.55</v>
      </c>
    </row>
    <row r="25" spans="1:11" s="6" customFormat="1" x14ac:dyDescent="0.25">
      <c r="A25" s="6" t="s">
        <v>9</v>
      </c>
      <c r="B25">
        <v>1229.3499999999999</v>
      </c>
      <c r="C25">
        <v>1483.11</v>
      </c>
      <c r="D25">
        <v>1758.63</v>
      </c>
      <c r="E25">
        <v>2239.81</v>
      </c>
      <c r="F25">
        <v>2080.44</v>
      </c>
      <c r="G25">
        <v>2417.3200000000002</v>
      </c>
      <c r="H25">
        <v>2576.9499999999998</v>
      </c>
      <c r="I25">
        <v>1909.72</v>
      </c>
      <c r="J25">
        <v>2097.64</v>
      </c>
      <c r="K25">
        <v>2803.77</v>
      </c>
    </row>
    <row r="26" spans="1:11" s="6" customFormat="1" x14ac:dyDescent="0.25">
      <c r="A26" s="6" t="s">
        <v>10</v>
      </c>
      <c r="B26">
        <v>1027.96</v>
      </c>
      <c r="C26">
        <v>1077.4000000000001</v>
      </c>
      <c r="D26">
        <v>1152.79</v>
      </c>
      <c r="E26">
        <v>1236.28</v>
      </c>
      <c r="F26">
        <v>1396.61</v>
      </c>
      <c r="G26">
        <v>1644.91</v>
      </c>
      <c r="H26">
        <v>1645.59</v>
      </c>
      <c r="I26">
        <v>1732.41</v>
      </c>
      <c r="J26">
        <v>1809.01</v>
      </c>
      <c r="K26">
        <v>1816.39</v>
      </c>
    </row>
    <row r="27" spans="1:11" s="6" customFormat="1" x14ac:dyDescent="0.25">
      <c r="A27" s="6" t="s">
        <v>11</v>
      </c>
      <c r="B27">
        <v>90.96</v>
      </c>
      <c r="C27">
        <v>78.13</v>
      </c>
      <c r="D27">
        <v>49.03</v>
      </c>
      <c r="E27">
        <v>115.01</v>
      </c>
      <c r="F27">
        <v>71.400000000000006</v>
      </c>
      <c r="G27">
        <v>81.38</v>
      </c>
      <c r="H27">
        <v>57.97</v>
      </c>
      <c r="I27">
        <v>59.99</v>
      </c>
      <c r="J27">
        <v>77.77</v>
      </c>
      <c r="K27">
        <v>80.06</v>
      </c>
    </row>
    <row r="28" spans="1:11" s="6" customFormat="1" x14ac:dyDescent="0.25">
      <c r="A28" s="6" t="s">
        <v>12</v>
      </c>
      <c r="B28">
        <v>14362.05</v>
      </c>
      <c r="C28">
        <v>14859.07</v>
      </c>
      <c r="D28">
        <v>16026.32</v>
      </c>
      <c r="E28">
        <v>17409.11</v>
      </c>
      <c r="F28">
        <v>19149.82</v>
      </c>
      <c r="G28">
        <v>20034.57</v>
      </c>
      <c r="H28">
        <v>17938.169999999998</v>
      </c>
      <c r="I28">
        <v>20740.47</v>
      </c>
      <c r="J28">
        <v>25915.119999999999</v>
      </c>
      <c r="K28">
        <v>27139.88</v>
      </c>
    </row>
    <row r="29" spans="1:11" s="6" customFormat="1" x14ac:dyDescent="0.25">
      <c r="A29" s="6" t="s">
        <v>13</v>
      </c>
      <c r="B29">
        <v>4596.42</v>
      </c>
      <c r="C29">
        <v>5358.21</v>
      </c>
      <c r="D29">
        <v>5549.09</v>
      </c>
      <c r="E29">
        <v>5916.43</v>
      </c>
      <c r="F29">
        <v>6313.92</v>
      </c>
      <c r="G29">
        <v>4441.79</v>
      </c>
      <c r="H29">
        <v>4555.29</v>
      </c>
      <c r="I29">
        <v>5237.34</v>
      </c>
      <c r="J29">
        <v>6438.4</v>
      </c>
      <c r="K29">
        <v>6388.52</v>
      </c>
    </row>
    <row r="30" spans="1:11" s="6" customFormat="1" x14ac:dyDescent="0.25">
      <c r="A30" s="6" t="s">
        <v>14</v>
      </c>
      <c r="B30">
        <v>9663.17</v>
      </c>
      <c r="C30">
        <v>9344.4500000000007</v>
      </c>
      <c r="D30">
        <v>10289.44</v>
      </c>
      <c r="E30">
        <v>11271.2</v>
      </c>
      <c r="F30">
        <v>12592.33</v>
      </c>
      <c r="G30">
        <v>15306.23</v>
      </c>
      <c r="H30">
        <v>13161.19</v>
      </c>
      <c r="I30">
        <v>15242.66</v>
      </c>
      <c r="J30">
        <v>19191.66</v>
      </c>
      <c r="K30">
        <v>20458.78</v>
      </c>
    </row>
    <row r="31" spans="1:11" s="6" customFormat="1" x14ac:dyDescent="0.25">
      <c r="A31" s="6" t="s">
        <v>70</v>
      </c>
      <c r="B31">
        <v>5009.6899999999996</v>
      </c>
      <c r="C31">
        <v>6840.12</v>
      </c>
      <c r="D31">
        <v>5770.02</v>
      </c>
      <c r="E31">
        <v>6285.21</v>
      </c>
      <c r="F31">
        <v>7048.7</v>
      </c>
      <c r="G31">
        <v>12476.58</v>
      </c>
      <c r="H31">
        <v>13231.96</v>
      </c>
      <c r="I31">
        <v>14171.8</v>
      </c>
      <c r="J31">
        <v>19263.400000000001</v>
      </c>
      <c r="K31">
        <v>17166.46</v>
      </c>
    </row>
    <row r="32" spans="1:11" s="6" customFormat="1" x14ac:dyDescent="0.25"/>
    <row r="33" spans="1:11" x14ac:dyDescent="0.25">
      <c r="A33" s="6"/>
    </row>
    <row r="34" spans="1:11" x14ac:dyDescent="0.25">
      <c r="A34" s="6"/>
    </row>
    <row r="35" spans="1:11" x14ac:dyDescent="0.25">
      <c r="A35" s="6"/>
    </row>
    <row r="36" spans="1:11" x14ac:dyDescent="0.25">
      <c r="A36" s="6"/>
    </row>
    <row r="37" spans="1:11" x14ac:dyDescent="0.25">
      <c r="A37" s="6"/>
    </row>
    <row r="38" spans="1:11" x14ac:dyDescent="0.25">
      <c r="A38" s="6"/>
    </row>
    <row r="39" spans="1:11" x14ac:dyDescent="0.25">
      <c r="A39" s="6"/>
    </row>
    <row r="40" spans="1:11" x14ac:dyDescent="0.25">
      <c r="A40" s="1" t="s">
        <v>39</v>
      </c>
    </row>
    <row r="41" spans="1:11" s="18" customFormat="1" x14ac:dyDescent="0.25">
      <c r="A41" s="17" t="s">
        <v>38</v>
      </c>
      <c r="B41" s="12">
        <v>44742</v>
      </c>
      <c r="C41" s="12">
        <v>44834</v>
      </c>
      <c r="D41" s="12">
        <v>44926</v>
      </c>
      <c r="E41" s="12">
        <v>45016</v>
      </c>
      <c r="F41" s="12">
        <v>45107</v>
      </c>
      <c r="G41" s="12">
        <v>45199</v>
      </c>
      <c r="H41" s="12">
        <v>45291</v>
      </c>
      <c r="I41" s="12">
        <v>45382</v>
      </c>
      <c r="J41" s="12">
        <v>45473</v>
      </c>
      <c r="K41" s="12">
        <v>45565</v>
      </c>
    </row>
    <row r="42" spans="1:11" s="6" customFormat="1" x14ac:dyDescent="0.25">
      <c r="A42" s="6" t="s">
        <v>6</v>
      </c>
      <c r="B42">
        <v>18489.45</v>
      </c>
      <c r="C42">
        <v>17107.990000000002</v>
      </c>
      <c r="D42">
        <v>17704.52</v>
      </c>
      <c r="E42">
        <v>17634.89</v>
      </c>
      <c r="F42">
        <v>17164.46</v>
      </c>
      <c r="G42">
        <v>17774.47</v>
      </c>
      <c r="H42">
        <v>18019.37</v>
      </c>
      <c r="I42">
        <v>17922.7</v>
      </c>
      <c r="J42">
        <v>18457.330000000002</v>
      </c>
      <c r="K42">
        <v>20735.87</v>
      </c>
    </row>
    <row r="43" spans="1:11" s="6" customFormat="1" x14ac:dyDescent="0.25">
      <c r="A43" s="6" t="s">
        <v>7</v>
      </c>
      <c r="B43">
        <v>12412.32</v>
      </c>
      <c r="C43">
        <v>10848.89</v>
      </c>
      <c r="D43">
        <v>10999.82</v>
      </c>
      <c r="E43">
        <v>11010.89</v>
      </c>
      <c r="F43">
        <v>10494.39</v>
      </c>
      <c r="G43">
        <v>11320.23</v>
      </c>
      <c r="H43">
        <v>11515.55</v>
      </c>
      <c r="I43">
        <v>11296.48</v>
      </c>
      <c r="J43">
        <v>11708.92</v>
      </c>
      <c r="K43">
        <v>13974.09</v>
      </c>
    </row>
    <row r="44" spans="1:11" s="6" customFormat="1" x14ac:dyDescent="0.25">
      <c r="A44" s="6" t="s">
        <v>9</v>
      </c>
      <c r="B44">
        <v>320.73</v>
      </c>
      <c r="C44">
        <v>454.68</v>
      </c>
      <c r="D44">
        <v>595.42999999999995</v>
      </c>
      <c r="E44">
        <v>682.52</v>
      </c>
      <c r="F44">
        <v>722.3</v>
      </c>
      <c r="G44">
        <v>673.5</v>
      </c>
      <c r="H44">
        <v>651.30999999999995</v>
      </c>
      <c r="I44">
        <v>681.78</v>
      </c>
      <c r="J44">
        <v>699.46</v>
      </c>
      <c r="K44">
        <v>622.91999999999996</v>
      </c>
    </row>
    <row r="45" spans="1:11" s="6" customFormat="1" x14ac:dyDescent="0.25">
      <c r="A45" s="6" t="s">
        <v>10</v>
      </c>
      <c r="B45">
        <v>438.12</v>
      </c>
      <c r="C45">
        <v>462.38</v>
      </c>
      <c r="D45">
        <v>447.11</v>
      </c>
      <c r="E45">
        <v>461.4</v>
      </c>
      <c r="F45">
        <v>442.46</v>
      </c>
      <c r="G45">
        <v>453.04</v>
      </c>
      <c r="H45">
        <v>459.45</v>
      </c>
      <c r="I45">
        <v>461.44</v>
      </c>
      <c r="J45">
        <v>498.57</v>
      </c>
      <c r="K45">
        <v>520.37</v>
      </c>
    </row>
    <row r="46" spans="1:11" s="6" customFormat="1" x14ac:dyDescent="0.25">
      <c r="A46" s="6" t="s">
        <v>11</v>
      </c>
      <c r="B46">
        <v>9.25</v>
      </c>
      <c r="C46">
        <v>12.59</v>
      </c>
      <c r="D46">
        <v>9.2100000000000009</v>
      </c>
      <c r="E46">
        <v>12.15</v>
      </c>
      <c r="F46">
        <v>9.9</v>
      </c>
      <c r="G46">
        <v>9.8699999999999992</v>
      </c>
      <c r="H46">
        <v>13.6</v>
      </c>
      <c r="I46">
        <v>12.59</v>
      </c>
      <c r="J46">
        <v>11.25</v>
      </c>
      <c r="K46">
        <v>16.38</v>
      </c>
    </row>
    <row r="47" spans="1:11" s="6" customFormat="1" x14ac:dyDescent="0.25">
      <c r="A47" s="6" t="s">
        <v>12</v>
      </c>
      <c r="B47">
        <v>5950.49</v>
      </c>
      <c r="C47">
        <v>6238.81</v>
      </c>
      <c r="D47">
        <v>6843.81</v>
      </c>
      <c r="E47">
        <v>6832.97</v>
      </c>
      <c r="F47">
        <v>6940.01</v>
      </c>
      <c r="G47">
        <v>6664.83</v>
      </c>
      <c r="H47">
        <v>6682.08</v>
      </c>
      <c r="I47">
        <v>6833.97</v>
      </c>
      <c r="J47">
        <v>6938.05</v>
      </c>
      <c r="K47">
        <v>6847.95</v>
      </c>
    </row>
    <row r="48" spans="1:11" s="6" customFormat="1" x14ac:dyDescent="0.25">
      <c r="A48" s="6" t="s">
        <v>13</v>
      </c>
      <c r="B48">
        <v>1488.24</v>
      </c>
      <c r="C48">
        <v>1568.49</v>
      </c>
      <c r="D48">
        <v>1773.72</v>
      </c>
      <c r="E48">
        <v>1607.95</v>
      </c>
      <c r="F48">
        <v>1759.89</v>
      </c>
      <c r="G48">
        <v>1700.31</v>
      </c>
      <c r="H48">
        <v>1281.57</v>
      </c>
      <c r="I48">
        <v>1646.75</v>
      </c>
      <c r="J48">
        <v>1761.06</v>
      </c>
      <c r="K48">
        <v>1793.52</v>
      </c>
    </row>
    <row r="49" spans="1:11" s="6" customFormat="1" x14ac:dyDescent="0.25">
      <c r="A49" s="6" t="s">
        <v>14</v>
      </c>
      <c r="B49">
        <v>4389.76</v>
      </c>
      <c r="C49">
        <v>4619.7700000000004</v>
      </c>
      <c r="D49">
        <v>5006.6499999999996</v>
      </c>
      <c r="E49">
        <v>5175.4799999999996</v>
      </c>
      <c r="F49">
        <v>5104.93</v>
      </c>
      <c r="G49">
        <v>4898.07</v>
      </c>
      <c r="H49">
        <v>5335.23</v>
      </c>
      <c r="I49">
        <v>5120.55</v>
      </c>
      <c r="J49">
        <v>5091.59</v>
      </c>
      <c r="K49">
        <v>4992.87</v>
      </c>
    </row>
    <row r="50" spans="1:11" x14ac:dyDescent="0.25">
      <c r="A50" s="6" t="s">
        <v>8</v>
      </c>
      <c r="B50">
        <v>6077.13</v>
      </c>
      <c r="C50">
        <v>6259.1</v>
      </c>
      <c r="D50">
        <v>6704.7</v>
      </c>
      <c r="E50">
        <v>6624</v>
      </c>
      <c r="F50">
        <v>6670.07</v>
      </c>
      <c r="G50">
        <v>6454.24</v>
      </c>
      <c r="H50">
        <v>6503.82</v>
      </c>
      <c r="I50">
        <v>6626.22</v>
      </c>
      <c r="J50">
        <v>6748.41</v>
      </c>
      <c r="K50">
        <v>6761.78</v>
      </c>
    </row>
    <row r="51" spans="1:11" x14ac:dyDescent="0.25">
      <c r="A51" s="6"/>
    </row>
    <row r="52" spans="1:11" x14ac:dyDescent="0.25">
      <c r="A52" s="6"/>
    </row>
    <row r="53" spans="1:11" x14ac:dyDescent="0.25">
      <c r="A53" s="6"/>
    </row>
    <row r="54" spans="1:11" x14ac:dyDescent="0.25">
      <c r="A54" s="6"/>
    </row>
    <row r="55" spans="1:11" x14ac:dyDescent="0.25">
      <c r="A55" s="1" t="s">
        <v>40</v>
      </c>
    </row>
    <row r="56" spans="1:11" s="18" customFormat="1" x14ac:dyDescent="0.25">
      <c r="A56" s="17" t="s">
        <v>38</v>
      </c>
      <c r="B56" s="12">
        <v>42094</v>
      </c>
      <c r="C56" s="12">
        <v>42460</v>
      </c>
      <c r="D56" s="12">
        <v>42825</v>
      </c>
      <c r="E56" s="12">
        <v>43190</v>
      </c>
      <c r="F56" s="12">
        <v>43555</v>
      </c>
      <c r="G56" s="12">
        <v>43921</v>
      </c>
      <c r="H56" s="12">
        <v>44286</v>
      </c>
      <c r="I56" s="12">
        <v>44651</v>
      </c>
      <c r="J56" s="12">
        <v>45016</v>
      </c>
      <c r="K56" s="12">
        <v>45382</v>
      </c>
    </row>
    <row r="57" spans="1:11" x14ac:dyDescent="0.25">
      <c r="A57" s="6" t="s">
        <v>24</v>
      </c>
      <c r="B57">
        <v>801.55</v>
      </c>
      <c r="C57">
        <v>804.72</v>
      </c>
      <c r="D57">
        <v>1214.74</v>
      </c>
      <c r="E57">
        <v>1220.43</v>
      </c>
      <c r="F57">
        <v>1225.8599999999999</v>
      </c>
      <c r="G57">
        <v>1229.22</v>
      </c>
      <c r="H57">
        <v>1230.8800000000001</v>
      </c>
      <c r="I57">
        <v>1232.33</v>
      </c>
      <c r="J57">
        <v>1242.8</v>
      </c>
      <c r="K57">
        <v>1248.47</v>
      </c>
    </row>
    <row r="58" spans="1:11" x14ac:dyDescent="0.25">
      <c r="A58" s="6" t="s">
        <v>25</v>
      </c>
      <c r="B58">
        <v>30933.94</v>
      </c>
      <c r="C58">
        <v>41874.800000000003</v>
      </c>
      <c r="D58">
        <v>45198.19</v>
      </c>
      <c r="E58">
        <v>51289.68</v>
      </c>
      <c r="F58">
        <v>57915.01</v>
      </c>
      <c r="G58">
        <v>64044.04</v>
      </c>
      <c r="H58">
        <v>59116.46</v>
      </c>
      <c r="I58">
        <v>61223.24</v>
      </c>
      <c r="J58">
        <v>67912.460000000006</v>
      </c>
      <c r="K58">
        <v>73258.53</v>
      </c>
    </row>
    <row r="59" spans="1:11" x14ac:dyDescent="0.25">
      <c r="A59" s="6" t="s">
        <v>71</v>
      </c>
      <c r="B59">
        <v>268.8</v>
      </c>
      <c r="C59">
        <v>83.78</v>
      </c>
      <c r="D59">
        <v>45.72</v>
      </c>
      <c r="E59">
        <v>35.92</v>
      </c>
      <c r="F59">
        <v>13.44</v>
      </c>
      <c r="G59">
        <v>277.45</v>
      </c>
      <c r="H59">
        <v>270.83</v>
      </c>
      <c r="I59">
        <v>249.44</v>
      </c>
      <c r="J59">
        <v>306.04000000000002</v>
      </c>
      <c r="K59">
        <v>303.43</v>
      </c>
    </row>
    <row r="60" spans="1:11" x14ac:dyDescent="0.25">
      <c r="A60" s="6" t="s">
        <v>72</v>
      </c>
      <c r="B60">
        <v>13947.93</v>
      </c>
      <c r="C60">
        <v>8888.0400000000009</v>
      </c>
      <c r="D60">
        <v>9439.67</v>
      </c>
      <c r="E60">
        <v>11694.85</v>
      </c>
      <c r="F60">
        <v>12584.73</v>
      </c>
      <c r="G60">
        <v>11760.04</v>
      </c>
      <c r="H60">
        <v>13142.59</v>
      </c>
      <c r="I60">
        <v>14491.01</v>
      </c>
      <c r="J60">
        <v>16369.66</v>
      </c>
      <c r="K60">
        <v>16943.54</v>
      </c>
    </row>
    <row r="61" spans="1:11" s="1" customFormat="1" x14ac:dyDescent="0.25">
      <c r="A61" s="1" t="s">
        <v>26</v>
      </c>
      <c r="B61">
        <v>45952.22</v>
      </c>
      <c r="C61">
        <v>51651.34</v>
      </c>
      <c r="D61">
        <v>55898.32</v>
      </c>
      <c r="E61">
        <v>64240.88</v>
      </c>
      <c r="F61">
        <v>71739.039999999994</v>
      </c>
      <c r="G61">
        <v>77310.75</v>
      </c>
      <c r="H61">
        <v>73760.759999999995</v>
      </c>
      <c r="I61">
        <v>77196.02</v>
      </c>
      <c r="J61">
        <v>85830.96</v>
      </c>
      <c r="K61">
        <v>91753.97</v>
      </c>
    </row>
    <row r="62" spans="1:11" x14ac:dyDescent="0.25">
      <c r="A62" s="6" t="s">
        <v>27</v>
      </c>
      <c r="B62">
        <v>15303.28</v>
      </c>
      <c r="C62">
        <v>15106.63</v>
      </c>
      <c r="D62">
        <v>15893.48</v>
      </c>
      <c r="E62">
        <v>16523.96</v>
      </c>
      <c r="F62">
        <v>19374.189999999999</v>
      </c>
      <c r="G62">
        <v>21713.34</v>
      </c>
      <c r="H62">
        <v>23298.48</v>
      </c>
      <c r="I62">
        <v>24231.59</v>
      </c>
      <c r="J62">
        <v>25851.27</v>
      </c>
      <c r="K62">
        <v>27820.22</v>
      </c>
    </row>
    <row r="63" spans="1:11" x14ac:dyDescent="0.25">
      <c r="A63" s="6" t="s">
        <v>28</v>
      </c>
      <c r="B63">
        <v>2700.2</v>
      </c>
      <c r="C63">
        <v>2559.7199999999998</v>
      </c>
      <c r="D63">
        <v>3729.89</v>
      </c>
      <c r="E63">
        <v>5508.33</v>
      </c>
      <c r="F63">
        <v>4136.42</v>
      </c>
      <c r="G63">
        <v>3256.46</v>
      </c>
      <c r="H63">
        <v>4011.29</v>
      </c>
      <c r="I63">
        <v>3225.54</v>
      </c>
      <c r="J63">
        <v>3003.3</v>
      </c>
      <c r="K63">
        <v>2860.78</v>
      </c>
    </row>
    <row r="64" spans="1:11" x14ac:dyDescent="0.25">
      <c r="A64" s="6" t="s">
        <v>29</v>
      </c>
      <c r="B64">
        <v>6942.77</v>
      </c>
      <c r="C64">
        <v>11747.59</v>
      </c>
      <c r="D64">
        <v>17581.38</v>
      </c>
      <c r="E64">
        <v>22052.86</v>
      </c>
      <c r="F64">
        <v>25043.49</v>
      </c>
      <c r="G64">
        <v>28663.35</v>
      </c>
      <c r="H64">
        <v>24870.87</v>
      </c>
      <c r="I64">
        <v>24841.01</v>
      </c>
      <c r="J64">
        <v>29415.02</v>
      </c>
      <c r="K64">
        <v>31114.02</v>
      </c>
    </row>
    <row r="65" spans="1:11" x14ac:dyDescent="0.25">
      <c r="A65" s="6" t="s">
        <v>73</v>
      </c>
      <c r="B65">
        <v>21005.97</v>
      </c>
      <c r="C65">
        <v>22237.4</v>
      </c>
      <c r="D65">
        <v>18693.57</v>
      </c>
      <c r="E65">
        <v>20155.73</v>
      </c>
      <c r="F65">
        <v>23184.94</v>
      </c>
      <c r="G65">
        <v>23677.599999999999</v>
      </c>
      <c r="H65">
        <v>21580.12</v>
      </c>
      <c r="I65">
        <v>24897.88</v>
      </c>
      <c r="J65">
        <v>27561.37</v>
      </c>
      <c r="K65">
        <v>29958.95</v>
      </c>
    </row>
    <row r="66" spans="1:11" s="1" customFormat="1" x14ac:dyDescent="0.25">
      <c r="A66" s="1" t="s">
        <v>26</v>
      </c>
      <c r="B66">
        <v>45952.22</v>
      </c>
      <c r="C66">
        <v>51651.34</v>
      </c>
      <c r="D66">
        <v>55898.32</v>
      </c>
      <c r="E66">
        <v>64240.88</v>
      </c>
      <c r="F66">
        <v>71739.039999999994</v>
      </c>
      <c r="G66">
        <v>77310.75</v>
      </c>
      <c r="H66">
        <v>73760.759999999995</v>
      </c>
      <c r="I66">
        <v>77196.02</v>
      </c>
      <c r="J66">
        <v>85830.96</v>
      </c>
      <c r="K66">
        <v>91753.97</v>
      </c>
    </row>
    <row r="67" spans="1:11" s="6" customFormat="1" x14ac:dyDescent="0.25">
      <c r="A67" s="6" t="s">
        <v>78</v>
      </c>
      <c r="B67">
        <v>1982.07</v>
      </c>
      <c r="C67">
        <v>1917.18</v>
      </c>
      <c r="D67">
        <v>2474.29</v>
      </c>
      <c r="E67">
        <v>2682.29</v>
      </c>
      <c r="F67">
        <v>4035.28</v>
      </c>
      <c r="G67">
        <v>2562.48</v>
      </c>
      <c r="H67">
        <v>2501.6999999999998</v>
      </c>
      <c r="I67">
        <v>2461.9</v>
      </c>
      <c r="J67">
        <v>2956.17</v>
      </c>
      <c r="K67">
        <v>4025.82</v>
      </c>
    </row>
    <row r="68" spans="1:11" x14ac:dyDescent="0.25">
      <c r="A68" s="6" t="s">
        <v>45</v>
      </c>
      <c r="B68">
        <v>8586.8700000000008</v>
      </c>
      <c r="C68">
        <v>9062.1</v>
      </c>
      <c r="D68">
        <v>8116.1</v>
      </c>
      <c r="E68">
        <v>7495.09</v>
      </c>
      <c r="F68">
        <v>7859.56</v>
      </c>
      <c r="G68">
        <v>8879.33</v>
      </c>
      <c r="H68">
        <v>10397.16</v>
      </c>
      <c r="I68">
        <v>10864.15</v>
      </c>
      <c r="J68">
        <v>11771.16</v>
      </c>
      <c r="K68">
        <v>14152.88</v>
      </c>
    </row>
    <row r="69" spans="1:11" x14ac:dyDescent="0.25">
      <c r="A69" s="4" t="s">
        <v>87</v>
      </c>
      <c r="B69">
        <v>7896.22</v>
      </c>
      <c r="C69">
        <v>6063.3</v>
      </c>
      <c r="D69">
        <v>2967.4</v>
      </c>
      <c r="E69">
        <v>2899.6</v>
      </c>
      <c r="F69">
        <v>4152.03</v>
      </c>
      <c r="G69">
        <v>7277.34</v>
      </c>
      <c r="H69">
        <v>4659.0200000000004</v>
      </c>
      <c r="I69">
        <v>4654.42</v>
      </c>
      <c r="J69">
        <v>4880.1899999999996</v>
      </c>
      <c r="K69">
        <v>7217.68</v>
      </c>
    </row>
    <row r="70" spans="1:11" x14ac:dyDescent="0.25">
      <c r="A70" s="4" t="s">
        <v>74</v>
      </c>
      <c r="B70">
        <v>8015519541</v>
      </c>
      <c r="C70">
        <v>8047206991</v>
      </c>
      <c r="D70">
        <v>12147383071</v>
      </c>
      <c r="E70">
        <v>12204294911</v>
      </c>
      <c r="F70">
        <v>12258631601</v>
      </c>
      <c r="G70">
        <v>12292231241</v>
      </c>
      <c r="H70">
        <v>12308844231</v>
      </c>
      <c r="I70">
        <v>12323255931</v>
      </c>
      <c r="J70">
        <v>12428017741</v>
      </c>
      <c r="K70">
        <v>12484700000</v>
      </c>
    </row>
    <row r="71" spans="1:11" x14ac:dyDescent="0.25">
      <c r="A71" s="4" t="s">
        <v>75</v>
      </c>
      <c r="D71">
        <v>4026657100</v>
      </c>
    </row>
    <row r="72" spans="1:11" x14ac:dyDescent="0.25">
      <c r="A72" s="4" t="s">
        <v>88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4" spans="1:11" x14ac:dyDescent="0.25">
      <c r="A74" s="6"/>
    </row>
    <row r="75" spans="1:11" x14ac:dyDescent="0.25">
      <c r="A75" s="6"/>
    </row>
    <row r="76" spans="1:11" x14ac:dyDescent="0.25">
      <c r="A76" s="6"/>
    </row>
    <row r="77" spans="1:11" x14ac:dyDescent="0.25">
      <c r="A77" s="6"/>
    </row>
    <row r="78" spans="1:11" x14ac:dyDescent="0.25">
      <c r="A78" s="6"/>
    </row>
    <row r="79" spans="1:11" x14ac:dyDescent="0.25">
      <c r="A79" s="6"/>
    </row>
    <row r="80" spans="1:11" x14ac:dyDescent="0.25">
      <c r="A80" s="1" t="s">
        <v>41</v>
      </c>
    </row>
    <row r="81" spans="1:11" s="18" customFormat="1" x14ac:dyDescent="0.25">
      <c r="A81" s="17" t="s">
        <v>38</v>
      </c>
      <c r="B81" s="12">
        <v>42094</v>
      </c>
      <c r="C81" s="12">
        <v>42460</v>
      </c>
      <c r="D81" s="12">
        <v>42825</v>
      </c>
      <c r="E81" s="12">
        <v>43190</v>
      </c>
      <c r="F81" s="12">
        <v>43555</v>
      </c>
      <c r="G81" s="12">
        <v>43921</v>
      </c>
      <c r="H81" s="12">
        <v>44286</v>
      </c>
      <c r="I81" s="12">
        <v>44651</v>
      </c>
      <c r="J81" s="12">
        <v>45016</v>
      </c>
      <c r="K81" s="12">
        <v>45382</v>
      </c>
    </row>
    <row r="82" spans="1:11" s="1" customFormat="1" x14ac:dyDescent="0.25">
      <c r="A82" s="6" t="s">
        <v>32</v>
      </c>
      <c r="B82">
        <v>9843.2000000000007</v>
      </c>
      <c r="C82">
        <v>9799.0400000000009</v>
      </c>
      <c r="D82">
        <v>10627.31</v>
      </c>
      <c r="E82">
        <v>13169.4</v>
      </c>
      <c r="F82">
        <v>12583.41</v>
      </c>
      <c r="G82">
        <v>14689.66</v>
      </c>
      <c r="H82">
        <v>12526.97</v>
      </c>
      <c r="I82">
        <v>15775.51</v>
      </c>
      <c r="J82">
        <v>18877.55</v>
      </c>
      <c r="K82">
        <v>17178.86</v>
      </c>
    </row>
    <row r="83" spans="1:11" s="6" customFormat="1" x14ac:dyDescent="0.25">
      <c r="A83" s="6" t="s">
        <v>33</v>
      </c>
      <c r="B83">
        <v>-5275.43</v>
      </c>
      <c r="C83">
        <v>-3920.73</v>
      </c>
      <c r="D83">
        <v>-3250.93</v>
      </c>
      <c r="E83">
        <v>-7113.89</v>
      </c>
      <c r="F83">
        <v>-5545.68</v>
      </c>
      <c r="G83">
        <v>-6174.02</v>
      </c>
      <c r="H83">
        <v>5739.98</v>
      </c>
      <c r="I83">
        <v>-2238.4899999999998</v>
      </c>
      <c r="J83">
        <v>-5732.29</v>
      </c>
      <c r="K83">
        <v>1562.77</v>
      </c>
    </row>
    <row r="84" spans="1:11" s="6" customFormat="1" x14ac:dyDescent="0.25">
      <c r="A84" s="6" t="s">
        <v>34</v>
      </c>
      <c r="B84">
        <v>-4661.03</v>
      </c>
      <c r="C84">
        <v>-5612.52</v>
      </c>
      <c r="D84">
        <v>-7301.03</v>
      </c>
      <c r="E84">
        <v>-6221.13</v>
      </c>
      <c r="F84">
        <v>-6868.64</v>
      </c>
      <c r="G84">
        <v>-8181.48</v>
      </c>
      <c r="H84">
        <v>-18633.830000000002</v>
      </c>
      <c r="I84">
        <v>-13580.5</v>
      </c>
      <c r="J84">
        <v>-13006.03</v>
      </c>
      <c r="K84">
        <v>-18550.96</v>
      </c>
    </row>
    <row r="85" spans="1:11" s="1" customFormat="1" x14ac:dyDescent="0.25">
      <c r="A85" s="6" t="s">
        <v>35</v>
      </c>
      <c r="B85">
        <v>-93.26</v>
      </c>
      <c r="C85">
        <v>265.79000000000002</v>
      </c>
      <c r="D85">
        <v>75.349999999999994</v>
      </c>
      <c r="E85">
        <v>-165.62</v>
      </c>
      <c r="F85">
        <v>169.09</v>
      </c>
      <c r="G85">
        <v>334.16</v>
      </c>
      <c r="H85">
        <v>-366.88</v>
      </c>
      <c r="I85">
        <v>-43.48</v>
      </c>
      <c r="J85">
        <v>139.22999999999999</v>
      </c>
      <c r="K85">
        <v>190.67</v>
      </c>
    </row>
    <row r="86" spans="1:11" x14ac:dyDescent="0.25">
      <c r="A86" s="6"/>
    </row>
    <row r="87" spans="1:11" x14ac:dyDescent="0.25">
      <c r="A87" s="6"/>
    </row>
    <row r="88" spans="1:11" x14ac:dyDescent="0.25">
      <c r="A88" s="6"/>
    </row>
    <row r="89" spans="1:11" x14ac:dyDescent="0.25">
      <c r="A89" s="6"/>
    </row>
    <row r="90" spans="1:11" s="1" customFormat="1" x14ac:dyDescent="0.25">
      <c r="A90" s="1" t="s">
        <v>77</v>
      </c>
      <c r="B90">
        <v>217.23</v>
      </c>
      <c r="C90">
        <v>218.83</v>
      </c>
      <c r="D90">
        <v>280.3</v>
      </c>
      <c r="E90">
        <v>255.5</v>
      </c>
      <c r="F90">
        <v>297.25</v>
      </c>
      <c r="G90">
        <v>171.7</v>
      </c>
      <c r="H90">
        <v>218.5</v>
      </c>
      <c r="I90">
        <v>250.65</v>
      </c>
      <c r="J90">
        <v>383.5</v>
      </c>
      <c r="K90">
        <v>428.35</v>
      </c>
    </row>
    <row r="92" spans="1:11" s="1" customFormat="1" x14ac:dyDescent="0.25">
      <c r="A92" s="1" t="s">
        <v>76</v>
      </c>
    </row>
    <row r="93" spans="1:11" x14ac:dyDescent="0.25">
      <c r="A93" s="4" t="s">
        <v>89</v>
      </c>
      <c r="B93" s="24">
        <v>1202.33</v>
      </c>
      <c r="C93" s="24">
        <v>1207.08</v>
      </c>
      <c r="D93" s="24">
        <v>1214.74</v>
      </c>
      <c r="E93" s="24">
        <v>1220.43</v>
      </c>
      <c r="F93" s="24">
        <v>1225.8599999999999</v>
      </c>
      <c r="G93" s="24">
        <v>1229.22</v>
      </c>
      <c r="H93" s="24">
        <v>1230.8800000000001</v>
      </c>
      <c r="I93" s="24">
        <v>1232.33</v>
      </c>
      <c r="J93" s="24">
        <v>1242.8</v>
      </c>
      <c r="K93" s="24">
        <v>1248.47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04C44-5346-4851-B8E3-55FA00EDC65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07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85546875" defaultRowHeight="15" x14ac:dyDescent="0.25"/>
  <cols>
    <col min="1" max="1" width="20.7109375" customWidth="1"/>
    <col min="2" max="11" width="13.42578125" bestFit="1" customWidth="1"/>
  </cols>
  <sheetData>
    <row r="1" spans="1:11" s="2" customFormat="1" x14ac:dyDescent="0.25">
      <c r="A1" s="2" t="str">
        <f>'Profit &amp; Loss'!A1</f>
        <v>ITC LTD</v>
      </c>
      <c r="E1" t="str">
        <f>UPDATE</f>
        <v/>
      </c>
      <c r="J1" s="2" t="s">
        <v>1</v>
      </c>
    </row>
    <row r="3" spans="1:11" s="2" customFormat="1" x14ac:dyDescent="0.25">
      <c r="A3" s="11" t="s">
        <v>2</v>
      </c>
      <c r="B3" s="12">
        <f>'Data Sheet'!B41</f>
        <v>44742</v>
      </c>
      <c r="C3" s="12">
        <f>'Data Sheet'!C41</f>
        <v>44834</v>
      </c>
      <c r="D3" s="12">
        <f>'Data Sheet'!D41</f>
        <v>44926</v>
      </c>
      <c r="E3" s="12">
        <f>'Data Sheet'!E41</f>
        <v>45016</v>
      </c>
      <c r="F3" s="12">
        <f>'Data Sheet'!F41</f>
        <v>45107</v>
      </c>
      <c r="G3" s="12">
        <f>'Data Sheet'!G41</f>
        <v>45199</v>
      </c>
      <c r="H3" s="12">
        <f>'Data Sheet'!H41</f>
        <v>45291</v>
      </c>
      <c r="I3" s="12">
        <f>'Data Sheet'!I41</f>
        <v>45382</v>
      </c>
      <c r="J3" s="12">
        <f>'Data Sheet'!J41</f>
        <v>45473</v>
      </c>
      <c r="K3" s="12">
        <f>'Data Sheet'!K41</f>
        <v>45565</v>
      </c>
    </row>
    <row r="4" spans="1:11" s="2" customFormat="1" x14ac:dyDescent="0.25">
      <c r="A4" s="2" t="s">
        <v>6</v>
      </c>
      <c r="B4" s="1">
        <f>'Data Sheet'!B42</f>
        <v>18489.45</v>
      </c>
      <c r="C4" s="1">
        <f>'Data Sheet'!C42</f>
        <v>17107.990000000002</v>
      </c>
      <c r="D4" s="1">
        <f>'Data Sheet'!D42</f>
        <v>17704.52</v>
      </c>
      <c r="E4" s="1">
        <f>'Data Sheet'!E42</f>
        <v>17634.89</v>
      </c>
      <c r="F4" s="1">
        <f>'Data Sheet'!F42</f>
        <v>17164.46</v>
      </c>
      <c r="G4" s="1">
        <f>'Data Sheet'!G42</f>
        <v>17774.47</v>
      </c>
      <c r="H4" s="1">
        <f>'Data Sheet'!H42</f>
        <v>18019.37</v>
      </c>
      <c r="I4" s="1">
        <f>'Data Sheet'!I42</f>
        <v>17922.7</v>
      </c>
      <c r="J4" s="1">
        <f>'Data Sheet'!J42</f>
        <v>18457.330000000002</v>
      </c>
      <c r="K4" s="1">
        <f>'Data Sheet'!K42</f>
        <v>20735.87</v>
      </c>
    </row>
    <row r="5" spans="1:11" x14ac:dyDescent="0.25">
      <c r="A5" t="s">
        <v>7</v>
      </c>
      <c r="B5" s="6">
        <f>'Data Sheet'!B43</f>
        <v>12412.32</v>
      </c>
      <c r="C5" s="6">
        <f>'Data Sheet'!C43</f>
        <v>10848.89</v>
      </c>
      <c r="D5" s="6">
        <f>'Data Sheet'!D43</f>
        <v>10999.82</v>
      </c>
      <c r="E5" s="6">
        <f>'Data Sheet'!E43</f>
        <v>11010.89</v>
      </c>
      <c r="F5" s="6">
        <f>'Data Sheet'!F43</f>
        <v>10494.39</v>
      </c>
      <c r="G5" s="6">
        <f>'Data Sheet'!G43</f>
        <v>11320.23</v>
      </c>
      <c r="H5" s="6">
        <f>'Data Sheet'!H43</f>
        <v>11515.55</v>
      </c>
      <c r="I5" s="6">
        <f>'Data Sheet'!I43</f>
        <v>11296.48</v>
      </c>
      <c r="J5" s="6">
        <f>'Data Sheet'!J43</f>
        <v>11708.92</v>
      </c>
      <c r="K5" s="6">
        <f>'Data Sheet'!K43</f>
        <v>13974.09</v>
      </c>
    </row>
    <row r="6" spans="1:11" s="2" customFormat="1" x14ac:dyDescent="0.25">
      <c r="A6" s="2" t="s">
        <v>8</v>
      </c>
      <c r="B6" s="1">
        <f>'Data Sheet'!B50</f>
        <v>6077.13</v>
      </c>
      <c r="C6" s="1">
        <f>'Data Sheet'!C50</f>
        <v>6259.1</v>
      </c>
      <c r="D6" s="1">
        <f>'Data Sheet'!D50</f>
        <v>6704.7</v>
      </c>
      <c r="E6" s="1">
        <f>'Data Sheet'!E50</f>
        <v>6624</v>
      </c>
      <c r="F6" s="1">
        <f>'Data Sheet'!F50</f>
        <v>6670.07</v>
      </c>
      <c r="G6" s="1">
        <f>'Data Sheet'!G50</f>
        <v>6454.24</v>
      </c>
      <c r="H6" s="1">
        <f>'Data Sheet'!H50</f>
        <v>6503.82</v>
      </c>
      <c r="I6" s="1">
        <f>'Data Sheet'!I50</f>
        <v>6626.22</v>
      </c>
      <c r="J6" s="1">
        <f>'Data Sheet'!J50</f>
        <v>6748.41</v>
      </c>
      <c r="K6" s="1">
        <f>'Data Sheet'!K50</f>
        <v>6761.78</v>
      </c>
    </row>
    <row r="7" spans="1:11" x14ac:dyDescent="0.25">
      <c r="A7" t="s">
        <v>9</v>
      </c>
      <c r="B7" s="6">
        <f>'Data Sheet'!B44</f>
        <v>320.73</v>
      </c>
      <c r="C7" s="6">
        <f>'Data Sheet'!C44</f>
        <v>454.68</v>
      </c>
      <c r="D7" s="6">
        <f>'Data Sheet'!D44</f>
        <v>595.42999999999995</v>
      </c>
      <c r="E7" s="6">
        <f>'Data Sheet'!E44</f>
        <v>682.52</v>
      </c>
      <c r="F7" s="6">
        <f>'Data Sheet'!F44</f>
        <v>722.3</v>
      </c>
      <c r="G7" s="6">
        <f>'Data Sheet'!G44</f>
        <v>673.5</v>
      </c>
      <c r="H7" s="6">
        <f>'Data Sheet'!H44</f>
        <v>651.30999999999995</v>
      </c>
      <c r="I7" s="6">
        <f>'Data Sheet'!I44</f>
        <v>681.78</v>
      </c>
      <c r="J7" s="6">
        <f>'Data Sheet'!J44</f>
        <v>699.46</v>
      </c>
      <c r="K7" s="6">
        <f>'Data Sheet'!K44</f>
        <v>622.91999999999996</v>
      </c>
    </row>
    <row r="8" spans="1:11" x14ac:dyDescent="0.25">
      <c r="A8" t="s">
        <v>10</v>
      </c>
      <c r="B8" s="6">
        <f>'Data Sheet'!B45</f>
        <v>438.12</v>
      </c>
      <c r="C8" s="6">
        <f>'Data Sheet'!C45</f>
        <v>462.38</v>
      </c>
      <c r="D8" s="6">
        <f>'Data Sheet'!D45</f>
        <v>447.11</v>
      </c>
      <c r="E8" s="6">
        <f>'Data Sheet'!E45</f>
        <v>461.4</v>
      </c>
      <c r="F8" s="6">
        <f>'Data Sheet'!F45</f>
        <v>442.46</v>
      </c>
      <c r="G8" s="6">
        <f>'Data Sheet'!G45</f>
        <v>453.04</v>
      </c>
      <c r="H8" s="6">
        <f>'Data Sheet'!H45</f>
        <v>459.45</v>
      </c>
      <c r="I8" s="6">
        <f>'Data Sheet'!I45</f>
        <v>461.44</v>
      </c>
      <c r="J8" s="6">
        <f>'Data Sheet'!J45</f>
        <v>498.57</v>
      </c>
      <c r="K8" s="6">
        <f>'Data Sheet'!K45</f>
        <v>520.37</v>
      </c>
    </row>
    <row r="9" spans="1:11" x14ac:dyDescent="0.25">
      <c r="A9" t="s">
        <v>11</v>
      </c>
      <c r="B9" s="6">
        <f>'Data Sheet'!B46</f>
        <v>9.25</v>
      </c>
      <c r="C9" s="6">
        <f>'Data Sheet'!C46</f>
        <v>12.59</v>
      </c>
      <c r="D9" s="6">
        <f>'Data Sheet'!D46</f>
        <v>9.2100000000000009</v>
      </c>
      <c r="E9" s="6">
        <f>'Data Sheet'!E46</f>
        <v>12.15</v>
      </c>
      <c r="F9" s="6">
        <f>'Data Sheet'!F46</f>
        <v>9.9</v>
      </c>
      <c r="G9" s="6">
        <f>'Data Sheet'!G46</f>
        <v>9.8699999999999992</v>
      </c>
      <c r="H9" s="6">
        <f>'Data Sheet'!H46</f>
        <v>13.6</v>
      </c>
      <c r="I9" s="6">
        <f>'Data Sheet'!I46</f>
        <v>12.59</v>
      </c>
      <c r="J9" s="6">
        <f>'Data Sheet'!J46</f>
        <v>11.25</v>
      </c>
      <c r="K9" s="6">
        <f>'Data Sheet'!K46</f>
        <v>16.38</v>
      </c>
    </row>
    <row r="10" spans="1:11" x14ac:dyDescent="0.25">
      <c r="A10" t="s">
        <v>12</v>
      </c>
      <c r="B10" s="6">
        <f>'Data Sheet'!B47</f>
        <v>5950.49</v>
      </c>
      <c r="C10" s="6">
        <f>'Data Sheet'!C47</f>
        <v>6238.81</v>
      </c>
      <c r="D10" s="6">
        <f>'Data Sheet'!D47</f>
        <v>6843.81</v>
      </c>
      <c r="E10" s="6">
        <f>'Data Sheet'!E47</f>
        <v>6832.97</v>
      </c>
      <c r="F10" s="6">
        <f>'Data Sheet'!F47</f>
        <v>6940.01</v>
      </c>
      <c r="G10" s="6">
        <f>'Data Sheet'!G47</f>
        <v>6664.83</v>
      </c>
      <c r="H10" s="6">
        <f>'Data Sheet'!H47</f>
        <v>6682.08</v>
      </c>
      <c r="I10" s="6">
        <f>'Data Sheet'!I47</f>
        <v>6833.97</v>
      </c>
      <c r="J10" s="6">
        <f>'Data Sheet'!J47</f>
        <v>6938.05</v>
      </c>
      <c r="K10" s="6">
        <f>'Data Sheet'!K47</f>
        <v>6847.95</v>
      </c>
    </row>
    <row r="11" spans="1:11" x14ac:dyDescent="0.25">
      <c r="A11" t="s">
        <v>13</v>
      </c>
      <c r="B11" s="6">
        <f>'Data Sheet'!B48</f>
        <v>1488.24</v>
      </c>
      <c r="C11" s="6">
        <f>'Data Sheet'!C48</f>
        <v>1568.49</v>
      </c>
      <c r="D11" s="6">
        <f>'Data Sheet'!D48</f>
        <v>1773.72</v>
      </c>
      <c r="E11" s="6">
        <f>'Data Sheet'!E48</f>
        <v>1607.95</v>
      </c>
      <c r="F11" s="6">
        <f>'Data Sheet'!F48</f>
        <v>1759.89</v>
      </c>
      <c r="G11" s="6">
        <f>'Data Sheet'!G48</f>
        <v>1700.31</v>
      </c>
      <c r="H11" s="6">
        <f>'Data Sheet'!H48</f>
        <v>1281.57</v>
      </c>
      <c r="I11" s="6">
        <f>'Data Sheet'!I48</f>
        <v>1646.75</v>
      </c>
      <c r="J11" s="6">
        <f>'Data Sheet'!J48</f>
        <v>1761.06</v>
      </c>
      <c r="K11" s="6">
        <f>'Data Sheet'!K48</f>
        <v>1793.52</v>
      </c>
    </row>
    <row r="12" spans="1:11" s="2" customFormat="1" x14ac:dyDescent="0.25">
      <c r="A12" s="2" t="s">
        <v>14</v>
      </c>
      <c r="B12" s="1">
        <f>'Data Sheet'!B49</f>
        <v>4389.76</v>
      </c>
      <c r="C12" s="1">
        <f>'Data Sheet'!C49</f>
        <v>4619.7700000000004</v>
      </c>
      <c r="D12" s="1">
        <f>'Data Sheet'!D49</f>
        <v>5006.6499999999996</v>
      </c>
      <c r="E12" s="1">
        <f>'Data Sheet'!E49</f>
        <v>5175.4799999999996</v>
      </c>
      <c r="F12" s="1">
        <f>'Data Sheet'!F49</f>
        <v>5104.93</v>
      </c>
      <c r="G12" s="1">
        <f>'Data Sheet'!G49</f>
        <v>4898.07</v>
      </c>
      <c r="H12" s="1">
        <f>'Data Sheet'!H49</f>
        <v>5335.23</v>
      </c>
      <c r="I12" s="1">
        <f>'Data Sheet'!I49</f>
        <v>5120.55</v>
      </c>
      <c r="J12" s="1">
        <f>'Data Sheet'!J49</f>
        <v>5091.59</v>
      </c>
      <c r="K12" s="1">
        <f>'Data Sheet'!K49</f>
        <v>4992.87</v>
      </c>
    </row>
    <row r="14" spans="1:11" s="2" customFormat="1" x14ac:dyDescent="0.25">
      <c r="A14" s="2" t="s">
        <v>18</v>
      </c>
      <c r="B14" s="10">
        <f>IF(B4&gt;0,B6/B4,"")</f>
        <v>0.32868095048798096</v>
      </c>
      <c r="C14" s="10">
        <f t="shared" ref="C14:K14" si="0">IF(C4&gt;0,C6/C4,"")</f>
        <v>0.36585829194429037</v>
      </c>
      <c r="D14" s="10">
        <f t="shared" si="0"/>
        <v>0.37869990262373676</v>
      </c>
      <c r="E14" s="10">
        <f t="shared" si="0"/>
        <v>0.37561901435166312</v>
      </c>
      <c r="F14" s="10">
        <f t="shared" si="0"/>
        <v>0.38859771877472404</v>
      </c>
      <c r="G14" s="10">
        <f t="shared" si="0"/>
        <v>0.3631185627475812</v>
      </c>
      <c r="H14" s="10">
        <f t="shared" si="0"/>
        <v>0.36093492724773396</v>
      </c>
      <c r="I14" s="10">
        <f t="shared" si="0"/>
        <v>0.36971103684154732</v>
      </c>
      <c r="J14" s="10">
        <f t="shared" si="0"/>
        <v>0.36562222163227287</v>
      </c>
      <c r="K14" s="10">
        <f t="shared" si="0"/>
        <v>0.32609097182804486</v>
      </c>
    </row>
    <row r="22" s="23" customFormat="1" x14ac:dyDescent="0.25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51F43-ABE3-4ADD-957E-FB9B2D8EE505}">
  <dimension ref="A1"/>
  <sheetViews>
    <sheetView workbookViewId="0"/>
  </sheetViews>
  <sheetFormatPr defaultRowHeight="15" x14ac:dyDescent="0.25"/>
  <cols>
    <col min="1" max="1" width="32" customWidth="1"/>
  </cols>
  <sheetData>
    <row r="1" spans="1:1" x14ac:dyDescent="0.25">
      <c r="A1" t="s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A3" sqref="A3:XFD18"/>
    </sheetView>
  </sheetViews>
  <sheetFormatPr defaultColWidth="8.85546875" defaultRowHeight="15" x14ac:dyDescent="0.25"/>
  <cols>
    <col min="1" max="1" width="22.85546875" bestFit="1" customWidth="1"/>
    <col min="2" max="2" width="13.42578125" customWidth="1"/>
    <col min="3" max="11" width="15.42578125" customWidth="1"/>
  </cols>
  <sheetData>
    <row r="1" spans="1:11" s="2" customFormat="1" x14ac:dyDescent="0.25">
      <c r="A1" s="2" t="str">
        <f>'Profit &amp; Loss'!A1</f>
        <v>ITC LTD</v>
      </c>
      <c r="E1" t="str">
        <f>UPDATE</f>
        <v/>
      </c>
      <c r="G1"/>
      <c r="J1" s="2" t="s">
        <v>1</v>
      </c>
    </row>
    <row r="2" spans="1:11" x14ac:dyDescent="0.25">
      <c r="G2" s="2"/>
      <c r="H2" s="2"/>
    </row>
    <row r="3" spans="1:11" x14ac:dyDescent="0.25">
      <c r="A3" s="11" t="s">
        <v>2</v>
      </c>
      <c r="B3" s="12">
        <f>'Data Sheet'!B56</f>
        <v>42094</v>
      </c>
      <c r="C3" s="12">
        <f>'Data Sheet'!C56</f>
        <v>42460</v>
      </c>
      <c r="D3" s="12">
        <f>'Data Sheet'!D56</f>
        <v>42825</v>
      </c>
      <c r="E3" s="12">
        <f>'Data Sheet'!E56</f>
        <v>43190</v>
      </c>
      <c r="F3" s="12">
        <f>'Data Sheet'!F56</f>
        <v>43555</v>
      </c>
      <c r="G3" s="12">
        <f>'Data Sheet'!G56</f>
        <v>43921</v>
      </c>
      <c r="H3" s="12">
        <f>'Data Sheet'!H56</f>
        <v>44286</v>
      </c>
      <c r="I3" s="12">
        <f>'Data Sheet'!I56</f>
        <v>44651</v>
      </c>
      <c r="J3" s="12">
        <f>'Data Sheet'!J56</f>
        <v>45016</v>
      </c>
      <c r="K3" s="12">
        <f>'Data Sheet'!K56</f>
        <v>45382</v>
      </c>
    </row>
    <row r="4" spans="1:11" x14ac:dyDescent="0.25">
      <c r="A4" t="s">
        <v>24</v>
      </c>
      <c r="B4" s="14">
        <f>'Data Sheet'!B57</f>
        <v>801.55</v>
      </c>
      <c r="C4" s="14">
        <f>'Data Sheet'!C57</f>
        <v>804.72</v>
      </c>
      <c r="D4" s="14">
        <f>'Data Sheet'!D57</f>
        <v>1214.74</v>
      </c>
      <c r="E4" s="14">
        <f>'Data Sheet'!E57</f>
        <v>1220.43</v>
      </c>
      <c r="F4" s="14">
        <f>'Data Sheet'!F57</f>
        <v>1225.8599999999999</v>
      </c>
      <c r="G4" s="14">
        <f>'Data Sheet'!G57</f>
        <v>1229.22</v>
      </c>
      <c r="H4" s="14">
        <f>'Data Sheet'!H57</f>
        <v>1230.8800000000001</v>
      </c>
      <c r="I4" s="14">
        <f>'Data Sheet'!I57</f>
        <v>1232.33</v>
      </c>
      <c r="J4" s="14">
        <f>'Data Sheet'!J57</f>
        <v>1242.8</v>
      </c>
      <c r="K4" s="14">
        <f>'Data Sheet'!K57</f>
        <v>1248.47</v>
      </c>
    </row>
    <row r="5" spans="1:11" x14ac:dyDescent="0.25">
      <c r="A5" t="s">
        <v>25</v>
      </c>
      <c r="B5" s="14">
        <f>'Data Sheet'!B58</f>
        <v>30933.94</v>
      </c>
      <c r="C5" s="14">
        <f>'Data Sheet'!C58</f>
        <v>41874.800000000003</v>
      </c>
      <c r="D5" s="14">
        <f>'Data Sheet'!D58</f>
        <v>45198.19</v>
      </c>
      <c r="E5" s="14">
        <f>'Data Sheet'!E58</f>
        <v>51289.68</v>
      </c>
      <c r="F5" s="14">
        <f>'Data Sheet'!F58</f>
        <v>57915.01</v>
      </c>
      <c r="G5" s="14">
        <f>'Data Sheet'!G58</f>
        <v>64044.04</v>
      </c>
      <c r="H5" s="14">
        <f>'Data Sheet'!H58</f>
        <v>59116.46</v>
      </c>
      <c r="I5" s="14">
        <f>'Data Sheet'!I58</f>
        <v>61223.24</v>
      </c>
      <c r="J5" s="14">
        <f>'Data Sheet'!J58</f>
        <v>67912.460000000006</v>
      </c>
      <c r="K5" s="14">
        <f>'Data Sheet'!K58</f>
        <v>73258.53</v>
      </c>
    </row>
    <row r="6" spans="1:11" x14ac:dyDescent="0.25">
      <c r="A6" t="s">
        <v>71</v>
      </c>
      <c r="B6" s="14">
        <f>'Data Sheet'!B59</f>
        <v>268.8</v>
      </c>
      <c r="C6" s="14">
        <f>'Data Sheet'!C59</f>
        <v>83.78</v>
      </c>
      <c r="D6" s="14">
        <f>'Data Sheet'!D59</f>
        <v>45.72</v>
      </c>
      <c r="E6" s="14">
        <f>'Data Sheet'!E59</f>
        <v>35.92</v>
      </c>
      <c r="F6" s="14">
        <f>'Data Sheet'!F59</f>
        <v>13.44</v>
      </c>
      <c r="G6" s="14">
        <f>'Data Sheet'!G59</f>
        <v>277.45</v>
      </c>
      <c r="H6" s="14">
        <f>'Data Sheet'!H59</f>
        <v>270.83</v>
      </c>
      <c r="I6" s="14">
        <f>'Data Sheet'!I59</f>
        <v>249.44</v>
      </c>
      <c r="J6" s="14">
        <f>'Data Sheet'!J59</f>
        <v>306.04000000000002</v>
      </c>
      <c r="K6" s="14">
        <f>'Data Sheet'!K59</f>
        <v>303.43</v>
      </c>
    </row>
    <row r="7" spans="1:11" x14ac:dyDescent="0.25">
      <c r="A7" t="s">
        <v>72</v>
      </c>
      <c r="B7" s="14">
        <f>'Data Sheet'!B60</f>
        <v>13947.93</v>
      </c>
      <c r="C7" s="14">
        <f>'Data Sheet'!C60</f>
        <v>8888.0400000000009</v>
      </c>
      <c r="D7" s="14">
        <f>'Data Sheet'!D60</f>
        <v>9439.67</v>
      </c>
      <c r="E7" s="14">
        <f>'Data Sheet'!E60</f>
        <v>11694.85</v>
      </c>
      <c r="F7" s="14">
        <f>'Data Sheet'!F60</f>
        <v>12584.73</v>
      </c>
      <c r="G7" s="14">
        <f>'Data Sheet'!G60</f>
        <v>11760.04</v>
      </c>
      <c r="H7" s="14">
        <f>'Data Sheet'!H60</f>
        <v>13142.59</v>
      </c>
      <c r="I7" s="14">
        <f>'Data Sheet'!I60</f>
        <v>14491.01</v>
      </c>
      <c r="J7" s="14">
        <f>'Data Sheet'!J60</f>
        <v>16369.66</v>
      </c>
      <c r="K7" s="14">
        <f>'Data Sheet'!K60</f>
        <v>16943.54</v>
      </c>
    </row>
    <row r="8" spans="1:11" s="2" customFormat="1" x14ac:dyDescent="0.25">
      <c r="A8" s="2" t="s">
        <v>26</v>
      </c>
      <c r="B8" s="15">
        <f>'Data Sheet'!B61</f>
        <v>45952.22</v>
      </c>
      <c r="C8" s="15">
        <f>'Data Sheet'!C61</f>
        <v>51651.34</v>
      </c>
      <c r="D8" s="15">
        <f>'Data Sheet'!D61</f>
        <v>55898.32</v>
      </c>
      <c r="E8" s="15">
        <f>'Data Sheet'!E61</f>
        <v>64240.88</v>
      </c>
      <c r="F8" s="15">
        <f>'Data Sheet'!F61</f>
        <v>71739.039999999994</v>
      </c>
      <c r="G8" s="15">
        <f>'Data Sheet'!G61</f>
        <v>77310.75</v>
      </c>
      <c r="H8" s="15">
        <f>'Data Sheet'!H61</f>
        <v>73760.759999999995</v>
      </c>
      <c r="I8" s="15">
        <f>'Data Sheet'!I61</f>
        <v>77196.02</v>
      </c>
      <c r="J8" s="15">
        <f>'Data Sheet'!J61</f>
        <v>85830.96</v>
      </c>
      <c r="K8" s="15">
        <f>'Data Sheet'!K61</f>
        <v>91753.97</v>
      </c>
    </row>
    <row r="9" spans="1:11" s="2" customFormat="1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25">
      <c r="A10" t="s">
        <v>27</v>
      </c>
      <c r="B10" s="14">
        <f>'Data Sheet'!B62</f>
        <v>15303.28</v>
      </c>
      <c r="C10" s="14">
        <f>'Data Sheet'!C62</f>
        <v>15106.63</v>
      </c>
      <c r="D10" s="14">
        <f>'Data Sheet'!D62</f>
        <v>15893.48</v>
      </c>
      <c r="E10" s="14">
        <f>'Data Sheet'!E62</f>
        <v>16523.96</v>
      </c>
      <c r="F10" s="14">
        <f>'Data Sheet'!F62</f>
        <v>19374.189999999999</v>
      </c>
      <c r="G10" s="14">
        <f>'Data Sheet'!G62</f>
        <v>21713.34</v>
      </c>
      <c r="H10" s="14">
        <f>'Data Sheet'!H62</f>
        <v>23298.48</v>
      </c>
      <c r="I10" s="14">
        <f>'Data Sheet'!I62</f>
        <v>24231.59</v>
      </c>
      <c r="J10" s="14">
        <f>'Data Sheet'!J62</f>
        <v>25851.27</v>
      </c>
      <c r="K10" s="14">
        <f>'Data Sheet'!K62</f>
        <v>27820.22</v>
      </c>
    </row>
    <row r="11" spans="1:11" x14ac:dyDescent="0.25">
      <c r="A11" t="s">
        <v>28</v>
      </c>
      <c r="B11" s="14">
        <f>'Data Sheet'!B63</f>
        <v>2700.2</v>
      </c>
      <c r="C11" s="14">
        <f>'Data Sheet'!C63</f>
        <v>2559.7199999999998</v>
      </c>
      <c r="D11" s="14">
        <f>'Data Sheet'!D63</f>
        <v>3729.89</v>
      </c>
      <c r="E11" s="14">
        <f>'Data Sheet'!E63</f>
        <v>5508.33</v>
      </c>
      <c r="F11" s="14">
        <f>'Data Sheet'!F63</f>
        <v>4136.42</v>
      </c>
      <c r="G11" s="14">
        <f>'Data Sheet'!G63</f>
        <v>3256.46</v>
      </c>
      <c r="H11" s="14">
        <f>'Data Sheet'!H63</f>
        <v>4011.29</v>
      </c>
      <c r="I11" s="14">
        <f>'Data Sheet'!I63</f>
        <v>3225.54</v>
      </c>
      <c r="J11" s="14">
        <f>'Data Sheet'!J63</f>
        <v>3003.3</v>
      </c>
      <c r="K11" s="14">
        <f>'Data Sheet'!K63</f>
        <v>2860.78</v>
      </c>
    </row>
    <row r="12" spans="1:11" x14ac:dyDescent="0.25">
      <c r="A12" t="s">
        <v>29</v>
      </c>
      <c r="B12" s="14">
        <f>'Data Sheet'!B64</f>
        <v>6942.77</v>
      </c>
      <c r="C12" s="14">
        <f>'Data Sheet'!C64</f>
        <v>11747.59</v>
      </c>
      <c r="D12" s="14">
        <f>'Data Sheet'!D64</f>
        <v>17581.38</v>
      </c>
      <c r="E12" s="14">
        <f>'Data Sheet'!E64</f>
        <v>22052.86</v>
      </c>
      <c r="F12" s="14">
        <f>'Data Sheet'!F64</f>
        <v>25043.49</v>
      </c>
      <c r="G12" s="14">
        <f>'Data Sheet'!G64</f>
        <v>28663.35</v>
      </c>
      <c r="H12" s="14">
        <f>'Data Sheet'!H64</f>
        <v>24870.87</v>
      </c>
      <c r="I12" s="14">
        <f>'Data Sheet'!I64</f>
        <v>24841.01</v>
      </c>
      <c r="J12" s="14">
        <f>'Data Sheet'!J64</f>
        <v>29415.02</v>
      </c>
      <c r="K12" s="14">
        <f>'Data Sheet'!K64</f>
        <v>31114.02</v>
      </c>
    </row>
    <row r="13" spans="1:11" x14ac:dyDescent="0.25">
      <c r="A13" t="s">
        <v>73</v>
      </c>
      <c r="B13" s="14">
        <f>'Data Sheet'!B65</f>
        <v>21005.97</v>
      </c>
      <c r="C13" s="14">
        <f>'Data Sheet'!C65</f>
        <v>22237.4</v>
      </c>
      <c r="D13" s="14">
        <f>'Data Sheet'!D65</f>
        <v>18693.57</v>
      </c>
      <c r="E13" s="14">
        <f>'Data Sheet'!E65</f>
        <v>20155.73</v>
      </c>
      <c r="F13" s="14">
        <f>'Data Sheet'!F65</f>
        <v>23184.94</v>
      </c>
      <c r="G13" s="14">
        <f>'Data Sheet'!G65</f>
        <v>23677.599999999999</v>
      </c>
      <c r="H13" s="14">
        <f>'Data Sheet'!H65</f>
        <v>21580.12</v>
      </c>
      <c r="I13" s="14">
        <f>'Data Sheet'!I65</f>
        <v>24897.88</v>
      </c>
      <c r="J13" s="14">
        <f>'Data Sheet'!J65</f>
        <v>27561.37</v>
      </c>
      <c r="K13" s="14">
        <f>'Data Sheet'!K65</f>
        <v>29958.95</v>
      </c>
    </row>
    <row r="14" spans="1:11" s="2" customFormat="1" x14ac:dyDescent="0.25">
      <c r="A14" s="2" t="s">
        <v>26</v>
      </c>
      <c r="B14" s="14">
        <f>'Data Sheet'!B66</f>
        <v>45952.22</v>
      </c>
      <c r="C14" s="14">
        <f>'Data Sheet'!C66</f>
        <v>51651.34</v>
      </c>
      <c r="D14" s="14">
        <f>'Data Sheet'!D66</f>
        <v>55898.32</v>
      </c>
      <c r="E14" s="14">
        <f>'Data Sheet'!E66</f>
        <v>64240.88</v>
      </c>
      <c r="F14" s="14">
        <f>'Data Sheet'!F66</f>
        <v>71739.039999999994</v>
      </c>
      <c r="G14" s="14">
        <f>'Data Sheet'!G66</f>
        <v>77310.75</v>
      </c>
      <c r="H14" s="14">
        <f>'Data Sheet'!H66</f>
        <v>73760.759999999995</v>
      </c>
      <c r="I14" s="14">
        <f>'Data Sheet'!I66</f>
        <v>77196.02</v>
      </c>
      <c r="J14" s="14">
        <f>'Data Sheet'!J66</f>
        <v>85830.96</v>
      </c>
      <c r="K14" s="14">
        <f>'Data Sheet'!K66</f>
        <v>91753.97</v>
      </c>
    </row>
    <row r="15" spans="1:11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25">
      <c r="A16" t="s">
        <v>30</v>
      </c>
      <c r="B16" s="4">
        <f>B13-B7</f>
        <v>7058.0400000000009</v>
      </c>
      <c r="C16" s="4">
        <f t="shared" ref="C16:K16" si="0">C13-C7</f>
        <v>13349.36</v>
      </c>
      <c r="D16" s="4">
        <f t="shared" si="0"/>
        <v>9253.9</v>
      </c>
      <c r="E16" s="4">
        <f t="shared" si="0"/>
        <v>8460.8799999999992</v>
      </c>
      <c r="F16" s="4">
        <f t="shared" si="0"/>
        <v>10600.21</v>
      </c>
      <c r="G16" s="4">
        <f t="shared" si="0"/>
        <v>11917.559999999998</v>
      </c>
      <c r="H16" s="4">
        <f t="shared" si="0"/>
        <v>8437.5299999999988</v>
      </c>
      <c r="I16" s="4">
        <f t="shared" si="0"/>
        <v>10406.870000000001</v>
      </c>
      <c r="J16" s="4">
        <f t="shared" si="0"/>
        <v>11191.71</v>
      </c>
      <c r="K16" s="4">
        <f t="shared" si="0"/>
        <v>13015.41</v>
      </c>
    </row>
    <row r="17" spans="1:11" x14ac:dyDescent="0.25">
      <c r="A17" t="s">
        <v>44</v>
      </c>
      <c r="B17" s="4">
        <f>'Data Sheet'!B67</f>
        <v>1982.07</v>
      </c>
      <c r="C17" s="4">
        <f>'Data Sheet'!C67</f>
        <v>1917.18</v>
      </c>
      <c r="D17" s="4">
        <f>'Data Sheet'!D67</f>
        <v>2474.29</v>
      </c>
      <c r="E17" s="4">
        <f>'Data Sheet'!E67</f>
        <v>2682.29</v>
      </c>
      <c r="F17" s="4">
        <f>'Data Sheet'!F67</f>
        <v>4035.28</v>
      </c>
      <c r="G17" s="4">
        <f>'Data Sheet'!G67</f>
        <v>2562.48</v>
      </c>
      <c r="H17" s="4">
        <f>'Data Sheet'!H67</f>
        <v>2501.6999999999998</v>
      </c>
      <c r="I17" s="4">
        <f>'Data Sheet'!I67</f>
        <v>2461.9</v>
      </c>
      <c r="J17" s="4">
        <f>'Data Sheet'!J67</f>
        <v>2956.17</v>
      </c>
      <c r="K17" s="4">
        <f>'Data Sheet'!K67</f>
        <v>4025.82</v>
      </c>
    </row>
    <row r="18" spans="1:11" x14ac:dyDescent="0.25">
      <c r="A18" t="s">
        <v>45</v>
      </c>
      <c r="B18" s="4">
        <f>'Data Sheet'!B68</f>
        <v>8586.8700000000008</v>
      </c>
      <c r="C18" s="4">
        <f>'Data Sheet'!C68</f>
        <v>9062.1</v>
      </c>
      <c r="D18" s="4">
        <f>'Data Sheet'!D68</f>
        <v>8116.1</v>
      </c>
      <c r="E18" s="4">
        <f>'Data Sheet'!E68</f>
        <v>7495.09</v>
      </c>
      <c r="F18" s="4">
        <f>'Data Sheet'!F68</f>
        <v>7859.56</v>
      </c>
      <c r="G18" s="4">
        <f>'Data Sheet'!G68</f>
        <v>8879.33</v>
      </c>
      <c r="H18" s="4">
        <f>'Data Sheet'!H68</f>
        <v>10397.16</v>
      </c>
      <c r="I18" s="4">
        <f>'Data Sheet'!I68</f>
        <v>10864.15</v>
      </c>
      <c r="J18" s="4">
        <f>'Data Sheet'!J68</f>
        <v>11771.16</v>
      </c>
      <c r="K18" s="4">
        <f>'Data Sheet'!K68</f>
        <v>14152.88</v>
      </c>
    </row>
    <row r="20" spans="1:11" x14ac:dyDescent="0.25">
      <c r="A20" t="s">
        <v>46</v>
      </c>
      <c r="B20" s="4">
        <f>IF('Profit &amp; Loss'!B4&gt;0,'Balance Sheet'!B17/('Profit &amp; Loss'!B4/365),0)</f>
        <v>18.637523620358525</v>
      </c>
      <c r="C20" s="4">
        <f>IF('Profit &amp; Loss'!C4&gt;0,'Balance Sheet'!C17/('Profit &amp; Loss'!C4/365),0)</f>
        <v>17.854891674597688</v>
      </c>
      <c r="D20" s="4">
        <f>IF('Profit &amp; Loss'!D4&gt;0,'Balance Sheet'!D17/('Profit &amp; Loss'!D4/365),0)</f>
        <v>21.116823249375695</v>
      </c>
      <c r="E20" s="4">
        <f>IF('Profit &amp; Loss'!E4&gt;0,'Balance Sheet'!E17/('Profit &amp; Loss'!E4/365),0)</f>
        <v>22.533020368275956</v>
      </c>
      <c r="F20" s="4">
        <f>IF('Profit &amp; Loss'!F4&gt;0,'Balance Sheet'!F17/('Profit &amp; Loss'!F4/365),0)</f>
        <v>30.469383474163411</v>
      </c>
      <c r="G20" s="4">
        <f>IF('Profit &amp; Loss'!G4&gt;0,'Balance Sheet'!G17/('Profit &amp; Loss'!G4/365),0)</f>
        <v>18.938018980434403</v>
      </c>
      <c r="H20" s="4">
        <f>IF('Profit &amp; Loss'!H4&gt;0,'Balance Sheet'!H17/('Profit &amp; Loss'!H4/365),0)</f>
        <v>18.537713584442557</v>
      </c>
      <c r="I20" s="4">
        <f>IF('Profit &amp; Loss'!I4&gt;0,'Balance Sheet'!I17/('Profit &amp; Loss'!I4/365),0)</f>
        <v>14.817385044061677</v>
      </c>
      <c r="J20" s="4">
        <f>IF('Profit &amp; Loss'!J4&gt;0,'Balance Sheet'!J17/('Profit &amp; Loss'!J4/365),0)</f>
        <v>15.214563002342249</v>
      </c>
      <c r="K20" s="4">
        <f>IF('Profit &amp; Loss'!K4&gt;0,'Balance Sheet'!K17/('Profit &amp; Loss'!K4/365),0)</f>
        <v>20.73518666580495</v>
      </c>
    </row>
    <row r="21" spans="1:11" x14ac:dyDescent="0.25">
      <c r="A21" t="s">
        <v>47</v>
      </c>
      <c r="B21" s="4">
        <f>IF('Balance Sheet'!B18&gt;0,'Profit &amp; Loss'!B4/'Balance Sheet'!B18,0)</f>
        <v>4.5205237764167849</v>
      </c>
      <c r="C21" s="4">
        <f>IF('Balance Sheet'!C18&gt;0,'Profit &amp; Loss'!C4/'Balance Sheet'!C18,0)</f>
        <v>4.3248364065724276</v>
      </c>
      <c r="D21" s="4">
        <f>IF('Balance Sheet'!D18&gt;0,'Profit &amp; Loss'!D4/'Balance Sheet'!D18,0)</f>
        <v>5.2694767191138601</v>
      </c>
      <c r="E21" s="4">
        <f>IF('Balance Sheet'!E18&gt;0,'Profit &amp; Loss'!E4/'Balance Sheet'!E18,0)</f>
        <v>5.7969870942176813</v>
      </c>
      <c r="F21" s="4">
        <f>IF('Balance Sheet'!F18&gt;0,'Profit &amp; Loss'!F4/'Balance Sheet'!F18,0)</f>
        <v>6.1504180895622653</v>
      </c>
      <c r="G21" s="4">
        <f>IF('Balance Sheet'!G18&gt;0,'Profit &amp; Loss'!G4/'Balance Sheet'!G18,0)</f>
        <v>5.5620975906965953</v>
      </c>
      <c r="H21" s="4">
        <f>IF('Balance Sheet'!H18&gt;0,'Profit &amp; Loss'!H4/'Balance Sheet'!H18,0)</f>
        <v>4.7375869949101483</v>
      </c>
      <c r="I21" s="4">
        <f>IF('Balance Sheet'!I18&gt;0,'Profit &amp; Loss'!I4/'Balance Sheet'!I18,0)</f>
        <v>5.5820786715941884</v>
      </c>
      <c r="J21" s="4">
        <f>IF('Balance Sheet'!J18&gt;0,'Profit &amp; Loss'!J4/'Balance Sheet'!J18,0)</f>
        <v>6.0248123379514</v>
      </c>
      <c r="K21" s="4">
        <f>IF('Balance Sheet'!K18&gt;0,'Profit &amp; Loss'!K4/'Balance Sheet'!K18,0)</f>
        <v>5.0071942954366886</v>
      </c>
    </row>
    <row r="23" spans="1:11" s="2" customFormat="1" x14ac:dyDescent="0.25">
      <c r="A23" s="2" t="s">
        <v>59</v>
      </c>
      <c r="B23" s="10">
        <f>IF(SUM('Balance Sheet'!B4:B5)&gt;0,'Profit &amp; Loss'!B12/SUM('Balance Sheet'!B4:B5),"")</f>
        <v>0.30449096579255591</v>
      </c>
      <c r="C23" s="10">
        <f>IF(SUM('Balance Sheet'!C4:C5)&gt;0,'Profit &amp; Loss'!C12/SUM('Balance Sheet'!C4:C5),"")</f>
        <v>0.21894458981731754</v>
      </c>
      <c r="D23" s="10">
        <f>IF(SUM('Balance Sheet'!D4:D5)&gt;0,'Profit &amp; Loss'!D12/SUM('Balance Sheet'!D4:D5),"")</f>
        <v>0.2216933944915781</v>
      </c>
      <c r="E23" s="10">
        <f>IF(SUM('Balance Sheet'!E4:E5)&gt;0,'Profit &amp; Loss'!E12/SUM('Balance Sheet'!E4:E5),"")</f>
        <v>0.21464818870118538</v>
      </c>
      <c r="F23" s="10">
        <f>IF(SUM('Balance Sheet'!F4:F5)&gt;0,'Profit &amp; Loss'!F12/SUM('Balance Sheet'!F4:F5),"")</f>
        <v>0.21292094620860327</v>
      </c>
      <c r="G23" s="10">
        <f>IF(SUM('Balance Sheet'!G4:G5)&gt;0,'Profit &amp; Loss'!G12/SUM('Balance Sheet'!G4:G5),"")</f>
        <v>0.23449464604648212</v>
      </c>
      <c r="H23" s="10">
        <f>IF(SUM('Balance Sheet'!H4:H5)&gt;0,'Profit &amp; Loss'!H12/SUM('Balance Sheet'!H4:H5),"")</f>
        <v>0.21809063995198466</v>
      </c>
      <c r="I23" s="10">
        <f>IF(SUM('Balance Sheet'!I4:I5)&gt;0,'Profit &amp; Loss'!I12/SUM('Balance Sheet'!I4:I5),"")</f>
        <v>0.24405605456807136</v>
      </c>
      <c r="J23" s="10">
        <f>IF(SUM('Balance Sheet'!J4:J5)&gt;0,'Profit &amp; Loss'!J12/SUM('Balance Sheet'!J4:J5),"")</f>
        <v>0.2775155497933201</v>
      </c>
      <c r="K23" s="10">
        <f>IF(SUM('Balance Sheet'!K4:K5)&gt;0,'Profit &amp; Loss'!K12/SUM('Balance Sheet'!K4:K5),"")</f>
        <v>0.27458869636409999</v>
      </c>
    </row>
    <row r="24" spans="1:11" s="2" customFormat="1" x14ac:dyDescent="0.25">
      <c r="A24" s="2" t="s">
        <v>60</v>
      </c>
      <c r="B24" s="10"/>
      <c r="C24" s="10">
        <f>IF((B4+B5+B6+C4+C5+C6)&gt;0,('Profit &amp; Loss'!C10+'Profit &amp; Loss'!C9)*2/(B4+B5+B6+C4+C5+C6),"")</f>
        <v>0.39956350070933139</v>
      </c>
      <c r="D24" s="10">
        <f>IF((C4+C5+C6+D4+D5+D6)&gt;0,('Profit &amp; Loss'!D10+'Profit &amp; Loss'!D9)*2/(C4+C5+C6+D4+D5+D6),"")</f>
        <v>0.36034518411668875</v>
      </c>
      <c r="E24" s="10">
        <f>IF((D4+D5+D6+E4+E5+E6)&gt;0,('Profit &amp; Loss'!E10+'Profit &amp; Loss'!E9)*2/(D4+D5+D6+E4+E5+E6),"")</f>
        <v>0.35400589143866729</v>
      </c>
      <c r="F24" s="10">
        <f>IF((E4+E5+E6+F4+F5+F6)&gt;0,('Profit &amp; Loss'!F10+'Profit &amp; Loss'!F9)*2/(E4+E5+E6+F4+F5+F6),"")</f>
        <v>0.34415687544012852</v>
      </c>
      <c r="G24" s="10">
        <f>IF((F4+F5+F6+G4+G5+G6)&gt;0,('Profit &amp; Loss'!G10+'Profit &amp; Loss'!G9)*2/(F4+F5+F6+G4+G5+G6),"")</f>
        <v>0.32261652337652486</v>
      </c>
      <c r="H24" s="10">
        <f>IF((G4+G5+G6+H4+H5+H6)&gt;0,('Profit &amp; Loss'!H10+'Profit &amp; Loss'!H9)*2/(G4+G5+G6+H4+H5+H6),"")</f>
        <v>0.28527066262298589</v>
      </c>
      <c r="I24" s="10">
        <f>IF((H4+H5+H6+I4+I5+I6)&gt;0,('Profit &amp; Loss'!I10+'Profit &amp; Loss'!I9)*2/(H4+H5+H6+I4+I5+I6),"")</f>
        <v>0.33733252742915004</v>
      </c>
      <c r="J24" s="10">
        <f>IF((I4+I5+I6+J4+J5+J6)&gt;0,('Profit &amp; Loss'!J10+'Profit &amp; Loss'!J9)*2/(I4+I5+I6+J4+J5+J6),"")</f>
        <v>0.39333609298769096</v>
      </c>
      <c r="K24" s="10">
        <f>IF((J4+J5+J6+K4+K5+K6)&gt;0,('Profit &amp; Loss'!K10+'Profit &amp; Loss'!K9)*2/(J4+J5+J6+K4+K5+K6),"")</f>
        <v>0.3773426713604946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41660-AE94-438A-BDDB-29B353C07DD1}">
  <dimension ref="A1:J11"/>
  <sheetViews>
    <sheetView workbookViewId="0">
      <selection sqref="A1:J11"/>
    </sheetView>
  </sheetViews>
  <sheetFormatPr defaultRowHeight="15" x14ac:dyDescent="0.25"/>
  <cols>
    <col min="1" max="1" width="15.42578125" customWidth="1"/>
  </cols>
  <sheetData>
    <row r="1" spans="1:10" x14ac:dyDescent="0.25">
      <c r="A1" s="28" t="s">
        <v>14</v>
      </c>
      <c r="B1" s="29" t="s">
        <v>6</v>
      </c>
      <c r="C1" s="29" t="s">
        <v>7</v>
      </c>
      <c r="D1" s="29" t="s">
        <v>8</v>
      </c>
      <c r="E1" s="29" t="s">
        <v>9</v>
      </c>
      <c r="F1" s="29" t="s">
        <v>10</v>
      </c>
      <c r="G1" s="29" t="s">
        <v>11</v>
      </c>
      <c r="H1" s="29" t="s">
        <v>12</v>
      </c>
      <c r="I1" s="29" t="s">
        <v>13</v>
      </c>
      <c r="J1" s="29" t="s">
        <v>14</v>
      </c>
    </row>
    <row r="2" spans="1:10" x14ac:dyDescent="0.25">
      <c r="A2" s="25">
        <v>42094</v>
      </c>
      <c r="B2">
        <v>38817.15</v>
      </c>
      <c r="C2">
        <v>24565.529999999995</v>
      </c>
      <c r="D2">
        <v>14251.620000000006</v>
      </c>
      <c r="E2">
        <v>1229.3499999999999</v>
      </c>
      <c r="F2">
        <v>1027.96</v>
      </c>
      <c r="G2">
        <v>90.96</v>
      </c>
      <c r="H2">
        <v>14362.05</v>
      </c>
      <c r="I2">
        <v>4596.42</v>
      </c>
      <c r="J2">
        <v>9663.17</v>
      </c>
    </row>
    <row r="3" spans="1:10" x14ac:dyDescent="0.25">
      <c r="A3" s="25">
        <v>42460</v>
      </c>
      <c r="B3">
        <v>39192.1</v>
      </c>
      <c r="C3">
        <v>24660.609999999997</v>
      </c>
      <c r="D3">
        <v>14531.490000000002</v>
      </c>
      <c r="E3">
        <v>1483.11</v>
      </c>
      <c r="F3">
        <v>1077.4000000000001</v>
      </c>
      <c r="G3">
        <v>78.13</v>
      </c>
      <c r="H3">
        <v>14859.07</v>
      </c>
      <c r="I3">
        <v>5358.21</v>
      </c>
      <c r="J3">
        <v>9344.4500000000007</v>
      </c>
    </row>
    <row r="4" spans="1:10" x14ac:dyDescent="0.25">
      <c r="A4" s="25">
        <v>42825</v>
      </c>
      <c r="B4">
        <v>42767.6</v>
      </c>
      <c r="C4">
        <v>27298.09</v>
      </c>
      <c r="D4">
        <v>15469.509999999998</v>
      </c>
      <c r="E4">
        <v>1758.63</v>
      </c>
      <c r="F4">
        <v>1152.79</v>
      </c>
      <c r="G4">
        <v>49.03</v>
      </c>
      <c r="H4">
        <v>16026.32</v>
      </c>
      <c r="I4">
        <v>5549.09</v>
      </c>
      <c r="J4">
        <v>10289.44</v>
      </c>
    </row>
    <row r="5" spans="1:10" x14ac:dyDescent="0.25">
      <c r="A5" s="25">
        <v>43190</v>
      </c>
      <c r="B5">
        <v>43448.94</v>
      </c>
      <c r="C5">
        <v>26928.35</v>
      </c>
      <c r="D5">
        <v>16520.590000000004</v>
      </c>
      <c r="E5">
        <v>2239.81</v>
      </c>
      <c r="F5">
        <v>1236.28</v>
      </c>
      <c r="G5">
        <v>115.01</v>
      </c>
      <c r="H5">
        <v>17409.11</v>
      </c>
      <c r="I5">
        <v>5916.43</v>
      </c>
      <c r="J5">
        <v>11271.2</v>
      </c>
    </row>
    <row r="6" spans="1:10" x14ac:dyDescent="0.25">
      <c r="A6" s="25">
        <v>43555</v>
      </c>
      <c r="B6">
        <v>48339.58</v>
      </c>
      <c r="C6">
        <v>29802.19</v>
      </c>
      <c r="D6">
        <v>18537.390000000003</v>
      </c>
      <c r="E6">
        <v>2080.44</v>
      </c>
      <c r="F6">
        <v>1396.61</v>
      </c>
      <c r="G6">
        <v>71.400000000000006</v>
      </c>
      <c r="H6">
        <v>19149.82</v>
      </c>
      <c r="I6">
        <v>6313.92</v>
      </c>
      <c r="J6">
        <v>12592.33</v>
      </c>
    </row>
    <row r="7" spans="1:10" x14ac:dyDescent="0.25">
      <c r="A7" s="25">
        <v>43921</v>
      </c>
      <c r="B7">
        <v>49387.7</v>
      </c>
      <c r="C7">
        <v>30044.16</v>
      </c>
      <c r="D7">
        <v>19343.539999999997</v>
      </c>
      <c r="E7">
        <v>2417.3200000000002</v>
      </c>
      <c r="F7">
        <v>1644.91</v>
      </c>
      <c r="G7">
        <v>81.38</v>
      </c>
      <c r="H7">
        <v>20034.57</v>
      </c>
      <c r="I7">
        <v>4441.79</v>
      </c>
      <c r="J7">
        <v>15306.23</v>
      </c>
    </row>
    <row r="8" spans="1:10" x14ac:dyDescent="0.25">
      <c r="A8" s="25">
        <v>44286</v>
      </c>
      <c r="B8">
        <v>49257.45</v>
      </c>
      <c r="C8">
        <v>32192.670000000002</v>
      </c>
      <c r="D8">
        <v>17064.779999999995</v>
      </c>
      <c r="E8">
        <v>2576.9499999999998</v>
      </c>
      <c r="F8">
        <v>1645.59</v>
      </c>
      <c r="G8">
        <v>57.97</v>
      </c>
      <c r="H8">
        <v>17938.169999999998</v>
      </c>
      <c r="I8">
        <v>4555.29</v>
      </c>
      <c r="J8">
        <v>13161.19</v>
      </c>
    </row>
    <row r="9" spans="1:10" x14ac:dyDescent="0.25">
      <c r="A9" s="25">
        <v>44651</v>
      </c>
      <c r="B9">
        <v>60644.54</v>
      </c>
      <c r="C9">
        <v>40021.39</v>
      </c>
      <c r="D9">
        <v>20623.150000000001</v>
      </c>
      <c r="E9">
        <v>1909.72</v>
      </c>
      <c r="F9">
        <v>1732.41</v>
      </c>
      <c r="G9">
        <v>59.99</v>
      </c>
      <c r="H9">
        <v>20740.47</v>
      </c>
      <c r="I9">
        <v>5237.34</v>
      </c>
      <c r="J9">
        <v>15242.66</v>
      </c>
    </row>
    <row r="10" spans="1:10" x14ac:dyDescent="0.25">
      <c r="A10" s="25">
        <v>45016</v>
      </c>
      <c r="B10">
        <v>70919.03</v>
      </c>
      <c r="C10">
        <v>45214.770000000004</v>
      </c>
      <c r="D10">
        <v>25704.259999999995</v>
      </c>
      <c r="E10">
        <v>2097.64</v>
      </c>
      <c r="F10">
        <v>1809.01</v>
      </c>
      <c r="G10">
        <v>77.77</v>
      </c>
      <c r="H10">
        <v>25915.119999999999</v>
      </c>
      <c r="I10">
        <v>6438.4</v>
      </c>
      <c r="J10">
        <v>19191.66</v>
      </c>
    </row>
    <row r="11" spans="1:10" x14ac:dyDescent="0.25">
      <c r="A11" s="25">
        <v>45382</v>
      </c>
      <c r="B11">
        <v>70866.22</v>
      </c>
      <c r="C11">
        <v>44633.659999999996</v>
      </c>
      <c r="D11">
        <v>26232.560000000005</v>
      </c>
      <c r="E11">
        <v>2803.77</v>
      </c>
      <c r="F11">
        <v>1816.39</v>
      </c>
      <c r="G11">
        <v>80.06</v>
      </c>
      <c r="H11">
        <v>27139.88</v>
      </c>
      <c r="I11">
        <v>6388.52</v>
      </c>
      <c r="J11">
        <v>20458.78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080EC-C59A-43CB-B42E-379CB1129D1D}">
  <dimension ref="A2:R173"/>
  <sheetViews>
    <sheetView topLeftCell="A163" zoomScale="108" zoomScaleNormal="100" workbookViewId="0">
      <selection activeCell="C160" sqref="C160"/>
    </sheetView>
  </sheetViews>
  <sheetFormatPr defaultRowHeight="15" x14ac:dyDescent="0.25"/>
  <cols>
    <col min="2" max="2" width="29.140625" customWidth="1"/>
    <col min="3" max="3" width="23.85546875" customWidth="1"/>
    <col min="4" max="4" width="17.42578125" customWidth="1"/>
    <col min="5" max="5" width="20.140625" customWidth="1"/>
    <col min="6" max="6" width="16.140625" customWidth="1"/>
    <col min="7" max="7" width="17.28515625" customWidth="1"/>
    <col min="8" max="8" width="14.7109375" customWidth="1"/>
    <col min="9" max="9" width="14.28515625" customWidth="1"/>
    <col min="10" max="10" width="14.7109375" customWidth="1"/>
    <col min="11" max="11" width="11.7109375" customWidth="1"/>
    <col min="12" max="12" width="12.5703125" customWidth="1"/>
    <col min="13" max="13" width="12.28515625" customWidth="1"/>
    <col min="14" max="14" width="14.42578125" customWidth="1"/>
    <col min="15" max="15" width="13" customWidth="1"/>
    <col min="16" max="16" width="13.42578125" customWidth="1"/>
    <col min="17" max="17" width="13.140625" customWidth="1"/>
  </cols>
  <sheetData>
    <row r="2" spans="1:16" x14ac:dyDescent="0.25">
      <c r="B2" s="31" t="s">
        <v>94</v>
      </c>
      <c r="L2" s="99" t="s">
        <v>93</v>
      </c>
      <c r="M2" s="99"/>
      <c r="N2" s="99"/>
      <c r="O2" s="99"/>
      <c r="P2" s="99"/>
    </row>
    <row r="3" spans="1:16" x14ac:dyDescent="0.25">
      <c r="A3" s="32" t="s">
        <v>14</v>
      </c>
      <c r="B3" s="30">
        <v>42094</v>
      </c>
      <c r="C3" s="30">
        <v>42460</v>
      </c>
      <c r="D3" s="30">
        <v>42825</v>
      </c>
      <c r="E3" s="30">
        <v>43190</v>
      </c>
      <c r="F3" s="30">
        <v>43555</v>
      </c>
      <c r="G3" s="30">
        <v>43921</v>
      </c>
      <c r="H3" s="30">
        <v>44286</v>
      </c>
      <c r="I3" s="30">
        <v>44651</v>
      </c>
      <c r="J3" s="30">
        <v>45016</v>
      </c>
      <c r="K3" s="30">
        <v>45382</v>
      </c>
      <c r="L3" s="55">
        <v>45747</v>
      </c>
      <c r="M3" s="55">
        <v>46112</v>
      </c>
      <c r="N3" s="55">
        <v>46477</v>
      </c>
      <c r="O3" s="55">
        <v>46843</v>
      </c>
      <c r="P3" s="55">
        <v>47208</v>
      </c>
    </row>
    <row r="4" spans="1:16" x14ac:dyDescent="0.25">
      <c r="A4" t="s">
        <v>6</v>
      </c>
      <c r="B4">
        <v>38817.15</v>
      </c>
      <c r="C4">
        <v>39192.1</v>
      </c>
      <c r="D4">
        <v>42767.6</v>
      </c>
      <c r="E4">
        <v>43448.94</v>
      </c>
      <c r="F4">
        <v>48339.58</v>
      </c>
      <c r="G4">
        <v>49387.7</v>
      </c>
      <c r="H4">
        <v>49257.45</v>
      </c>
      <c r="I4">
        <v>60644.54</v>
      </c>
      <c r="J4">
        <v>70919.03</v>
      </c>
      <c r="K4">
        <v>70866.22</v>
      </c>
      <c r="L4">
        <f>_xlfn.FORECAST.LINEAR(L3,B4:K4,B3:K3)</f>
        <v>71976.882914470043</v>
      </c>
      <c r="M4">
        <f t="shared" ref="M4:P4" si="0">_xlfn.FORECAST.LINEAR(M3,C4:L4,C3:L3)</f>
        <v>76874.399461953901</v>
      </c>
      <c r="N4">
        <f t="shared" si="0"/>
        <v>81618.713524890947</v>
      </c>
      <c r="O4">
        <f t="shared" si="0"/>
        <v>86715.600235073827</v>
      </c>
      <c r="P4">
        <f t="shared" si="0"/>
        <v>91427.832520692493</v>
      </c>
    </row>
    <row r="5" spans="1:16" x14ac:dyDescent="0.25">
      <c r="A5" t="s">
        <v>7</v>
      </c>
      <c r="B5">
        <v>24565.529999999995</v>
      </c>
      <c r="C5">
        <v>24660.609999999997</v>
      </c>
      <c r="D5">
        <v>27298.09</v>
      </c>
      <c r="E5">
        <v>26928.35</v>
      </c>
      <c r="F5">
        <v>29802.19</v>
      </c>
      <c r="G5">
        <v>30044.16</v>
      </c>
      <c r="H5">
        <v>32192.670000000002</v>
      </c>
      <c r="I5">
        <v>40021.39</v>
      </c>
      <c r="J5">
        <v>45214.770000000004</v>
      </c>
      <c r="K5">
        <v>44633.659999999996</v>
      </c>
      <c r="L5">
        <f>0.65*L4-930</f>
        <v>45854.973894405528</v>
      </c>
      <c r="M5">
        <f t="shared" ref="M5:P5" si="1">0.65*M4-930</f>
        <v>49038.359650270038</v>
      </c>
      <c r="N5">
        <f t="shared" si="1"/>
        <v>52122.163791179119</v>
      </c>
      <c r="O5">
        <f t="shared" si="1"/>
        <v>55435.140152797991</v>
      </c>
      <c r="P5">
        <f t="shared" si="1"/>
        <v>58498.091138450123</v>
      </c>
    </row>
    <row r="6" spans="1:16" x14ac:dyDescent="0.25">
      <c r="A6" t="s">
        <v>8</v>
      </c>
      <c r="B6">
        <v>14251.620000000006</v>
      </c>
      <c r="C6">
        <v>14531.490000000002</v>
      </c>
      <c r="D6">
        <v>15469.509999999998</v>
      </c>
      <c r="E6">
        <v>16520.590000000004</v>
      </c>
      <c r="F6">
        <v>18537.390000000003</v>
      </c>
      <c r="G6">
        <v>19343.539999999997</v>
      </c>
      <c r="H6">
        <v>17064.779999999995</v>
      </c>
      <c r="I6">
        <v>20623.150000000001</v>
      </c>
      <c r="J6">
        <v>25704.259999999995</v>
      </c>
      <c r="K6">
        <v>26232.560000000005</v>
      </c>
      <c r="L6">
        <f>L4-L5</f>
        <v>26121.909020064515</v>
      </c>
      <c r="M6">
        <f t="shared" ref="M6" si="2">M4-M5</f>
        <v>27836.039811683862</v>
      </c>
      <c r="N6">
        <f t="shared" ref="N6:P6" si="3">N4-N5</f>
        <v>29496.549733711829</v>
      </c>
      <c r="O6">
        <f t="shared" si="3"/>
        <v>31280.460082275837</v>
      </c>
      <c r="P6">
        <f t="shared" si="3"/>
        <v>32929.74138224237</v>
      </c>
    </row>
    <row r="7" spans="1:16" x14ac:dyDescent="0.25">
      <c r="A7" t="s">
        <v>9</v>
      </c>
      <c r="B7">
        <v>1229.3499999999999</v>
      </c>
      <c r="C7">
        <v>1483.11</v>
      </c>
      <c r="D7">
        <v>1758.63</v>
      </c>
      <c r="E7">
        <v>2239.81</v>
      </c>
      <c r="F7">
        <v>2080.44</v>
      </c>
      <c r="G7">
        <v>2417.3200000000002</v>
      </c>
      <c r="H7">
        <v>2576.9499999999998</v>
      </c>
      <c r="I7">
        <v>1909.72</v>
      </c>
      <c r="J7">
        <v>2097.64</v>
      </c>
      <c r="K7">
        <v>2803.77</v>
      </c>
      <c r="L7">
        <f>M73</f>
        <v>3209.0351955538144</v>
      </c>
      <c r="M7">
        <f t="shared" ref="M7:P7" si="4">N73</f>
        <v>3672.8786192530442</v>
      </c>
      <c r="N7">
        <f t="shared" si="4"/>
        <v>4203.7673411799533</v>
      </c>
      <c r="O7">
        <f t="shared" si="4"/>
        <v>4811.39228673042</v>
      </c>
      <c r="P7">
        <f t="shared" si="4"/>
        <v>5506.8451362751102</v>
      </c>
    </row>
    <row r="8" spans="1:16" x14ac:dyDescent="0.25">
      <c r="A8" t="s">
        <v>10</v>
      </c>
      <c r="B8">
        <v>1027.96</v>
      </c>
      <c r="C8">
        <v>1077.4000000000001</v>
      </c>
      <c r="D8">
        <v>1152.79</v>
      </c>
      <c r="E8">
        <v>1236.28</v>
      </c>
      <c r="F8">
        <v>1396.61</v>
      </c>
      <c r="G8">
        <v>1644.91</v>
      </c>
      <c r="H8">
        <v>1645.59</v>
      </c>
      <c r="I8">
        <v>1732.41</v>
      </c>
      <c r="J8">
        <v>1809.01</v>
      </c>
      <c r="K8">
        <v>1816.39</v>
      </c>
      <c r="L8" s="48">
        <f>M82</f>
        <v>1345.8031424999999</v>
      </c>
      <c r="M8" s="48">
        <f t="shared" ref="M8:P8" si="5">N82</f>
        <v>1446.7383781874998</v>
      </c>
      <c r="N8" s="48">
        <f t="shared" si="5"/>
        <v>1555.2437565515622</v>
      </c>
      <c r="O8" s="48">
        <f t="shared" si="5"/>
        <v>1671.8870382929294</v>
      </c>
      <c r="P8" s="48">
        <f t="shared" si="5"/>
        <v>1797.2785661648988</v>
      </c>
    </row>
    <row r="9" spans="1:16" x14ac:dyDescent="0.25">
      <c r="A9" t="s">
        <v>11</v>
      </c>
      <c r="B9">
        <v>90.96</v>
      </c>
      <c r="C9">
        <v>78.13</v>
      </c>
      <c r="D9">
        <v>49.03</v>
      </c>
      <c r="E9">
        <v>115.01</v>
      </c>
      <c r="F9">
        <v>71.400000000000006</v>
      </c>
      <c r="G9">
        <v>81.38</v>
      </c>
      <c r="H9">
        <v>57.97</v>
      </c>
      <c r="I9">
        <v>59.99</v>
      </c>
      <c r="J9">
        <v>77.77</v>
      </c>
      <c r="K9">
        <v>80.06</v>
      </c>
      <c r="L9">
        <f>M115</f>
        <v>33.377299999999998</v>
      </c>
      <c r="M9">
        <f t="shared" ref="M9:P9" si="6">N115</f>
        <v>31.708435000000001</v>
      </c>
      <c r="N9">
        <f t="shared" si="6"/>
        <v>30.123013250000007</v>
      </c>
      <c r="O9">
        <f t="shared" si="6"/>
        <v>28.616862587500005</v>
      </c>
      <c r="P9">
        <f t="shared" si="6"/>
        <v>27.186019458125006</v>
      </c>
    </row>
    <row r="10" spans="1:16" x14ac:dyDescent="0.25">
      <c r="A10" t="s">
        <v>12</v>
      </c>
      <c r="B10">
        <v>14362.05</v>
      </c>
      <c r="C10">
        <v>14859.07</v>
      </c>
      <c r="D10">
        <v>16026.32</v>
      </c>
      <c r="E10">
        <v>17409.11</v>
      </c>
      <c r="F10">
        <v>19149.82</v>
      </c>
      <c r="G10">
        <v>20034.57</v>
      </c>
      <c r="H10">
        <v>17938.169999999998</v>
      </c>
      <c r="I10">
        <v>20740.47</v>
      </c>
      <c r="J10">
        <v>25915.119999999999</v>
      </c>
      <c r="K10">
        <v>27139.88</v>
      </c>
      <c r="L10" s="48">
        <f>L6+L7-L8-L9</f>
        <v>27951.763773118328</v>
      </c>
      <c r="M10" s="48">
        <f t="shared" ref="M10:P10" si="7">M6+M7-M8-M9</f>
        <v>30030.471617749408</v>
      </c>
      <c r="N10" s="48">
        <f t="shared" si="7"/>
        <v>32114.950305090224</v>
      </c>
      <c r="O10" s="48">
        <f t="shared" si="7"/>
        <v>34391.348468125827</v>
      </c>
      <c r="P10" s="48">
        <f t="shared" si="7"/>
        <v>36612.121932894457</v>
      </c>
    </row>
    <row r="11" spans="1:16" x14ac:dyDescent="0.25">
      <c r="A11" t="s">
        <v>13</v>
      </c>
      <c r="B11">
        <v>4596.42</v>
      </c>
      <c r="C11">
        <v>5358.21</v>
      </c>
      <c r="D11">
        <v>5549.09</v>
      </c>
      <c r="E11">
        <v>5916.43</v>
      </c>
      <c r="F11">
        <v>6313.92</v>
      </c>
      <c r="G11">
        <v>4441.79</v>
      </c>
      <c r="H11">
        <v>4555.29</v>
      </c>
      <c r="I11">
        <v>5237.34</v>
      </c>
      <c r="J11">
        <v>6438.4</v>
      </c>
      <c r="K11">
        <v>6388.52</v>
      </c>
      <c r="L11">
        <f>IF(AND(L10&gt;0,L4&gt;400),30%*L10,IF(AND(L10&gt;0,L4&lt;400),25%*L10,0))</f>
        <v>8385.5291319354983</v>
      </c>
      <c r="M11">
        <f t="shared" ref="M11:P11" si="8">IF(AND(M10&gt;0,M4&gt;400),30%*M10,IF(AND(M10&gt;0,M4&lt;400),25%*M10,0))</f>
        <v>9009.1414853248225</v>
      </c>
      <c r="N11">
        <f t="shared" si="8"/>
        <v>9634.4850915270672</v>
      </c>
      <c r="O11">
        <f t="shared" si="8"/>
        <v>10317.404540437748</v>
      </c>
      <c r="P11">
        <f t="shared" si="8"/>
        <v>10983.636579868336</v>
      </c>
    </row>
    <row r="12" spans="1:16" x14ac:dyDescent="0.25">
      <c r="A12" t="s">
        <v>14</v>
      </c>
      <c r="B12">
        <v>9663.17</v>
      </c>
      <c r="C12">
        <v>9344.4500000000007</v>
      </c>
      <c r="D12">
        <v>10289.44</v>
      </c>
      <c r="E12">
        <v>11271.2</v>
      </c>
      <c r="F12">
        <v>12592.33</v>
      </c>
      <c r="G12">
        <v>15306.23</v>
      </c>
      <c r="H12">
        <v>13161.19</v>
      </c>
      <c r="I12">
        <v>15242.66</v>
      </c>
      <c r="J12">
        <v>19191.66</v>
      </c>
      <c r="K12">
        <v>20458.78</v>
      </c>
      <c r="L12" s="48">
        <f>L10-L11</f>
        <v>19566.234641182829</v>
      </c>
      <c r="M12" s="48">
        <f t="shared" ref="M12:P12" si="9">M10-M11</f>
        <v>21021.330132424584</v>
      </c>
      <c r="N12" s="48">
        <f t="shared" si="9"/>
        <v>22480.465213563155</v>
      </c>
      <c r="O12" s="48">
        <f t="shared" si="9"/>
        <v>24073.94392768808</v>
      </c>
      <c r="P12" s="48">
        <f t="shared" si="9"/>
        <v>25628.485353026121</v>
      </c>
    </row>
    <row r="16" spans="1:16" x14ac:dyDescent="0.25">
      <c r="B16" s="31" t="s">
        <v>95</v>
      </c>
      <c r="L16" s="99" t="s">
        <v>93</v>
      </c>
      <c r="M16" s="99"/>
      <c r="N16" s="99"/>
      <c r="O16" s="99"/>
      <c r="P16" s="99"/>
    </row>
    <row r="17" spans="1:16" x14ac:dyDescent="0.25">
      <c r="A17" s="32" t="s">
        <v>2</v>
      </c>
      <c r="B17" s="30">
        <v>42094</v>
      </c>
      <c r="C17" s="30">
        <v>42460</v>
      </c>
      <c r="D17" s="30">
        <v>42825</v>
      </c>
      <c r="E17" s="30">
        <v>43190</v>
      </c>
      <c r="F17" s="30">
        <v>43555</v>
      </c>
      <c r="G17" s="30">
        <v>43921</v>
      </c>
      <c r="H17" s="30">
        <v>44286</v>
      </c>
      <c r="I17" s="30">
        <v>44651</v>
      </c>
      <c r="J17" s="30">
        <v>45016</v>
      </c>
      <c r="K17" s="30">
        <v>45382</v>
      </c>
      <c r="L17" s="55">
        <v>45747</v>
      </c>
      <c r="M17" s="55">
        <v>46112</v>
      </c>
      <c r="N17" s="55">
        <v>46477</v>
      </c>
      <c r="O17" s="55">
        <v>46843</v>
      </c>
      <c r="P17" s="55">
        <v>47208</v>
      </c>
    </row>
    <row r="18" spans="1:16" x14ac:dyDescent="0.25">
      <c r="A18" t="s">
        <v>24</v>
      </c>
      <c r="B18">
        <v>801.55</v>
      </c>
      <c r="C18">
        <v>804.72</v>
      </c>
      <c r="D18">
        <v>1214.74</v>
      </c>
      <c r="E18">
        <v>1220.43</v>
      </c>
      <c r="F18">
        <v>1225.8599999999999</v>
      </c>
      <c r="G18">
        <v>1229.22</v>
      </c>
      <c r="H18">
        <v>1230.8800000000001</v>
      </c>
      <c r="I18">
        <v>1232.33</v>
      </c>
      <c r="J18">
        <v>1242.8</v>
      </c>
      <c r="K18">
        <v>1248.47</v>
      </c>
      <c r="L18">
        <f>K18</f>
        <v>1248.47</v>
      </c>
      <c r="M18">
        <f t="shared" ref="M18:P18" si="10">L18</f>
        <v>1248.47</v>
      </c>
      <c r="N18">
        <f t="shared" si="10"/>
        <v>1248.47</v>
      </c>
      <c r="O18">
        <f t="shared" si="10"/>
        <v>1248.47</v>
      </c>
      <c r="P18">
        <f t="shared" si="10"/>
        <v>1248.47</v>
      </c>
    </row>
    <row r="19" spans="1:16" x14ac:dyDescent="0.25">
      <c r="A19" t="s">
        <v>25</v>
      </c>
      <c r="B19">
        <v>30933.94</v>
      </c>
      <c r="C19">
        <v>41874.800000000003</v>
      </c>
      <c r="D19">
        <v>45198.19</v>
      </c>
      <c r="E19">
        <v>51289.68</v>
      </c>
      <c r="F19">
        <v>57915.01</v>
      </c>
      <c r="G19">
        <v>64044.04</v>
      </c>
      <c r="H19">
        <v>59116.46</v>
      </c>
      <c r="I19">
        <v>61223.24</v>
      </c>
      <c r="J19">
        <v>67912.460000000006</v>
      </c>
      <c r="K19">
        <v>73258.53</v>
      </c>
      <c r="L19" s="48">
        <f>K19+L12-M76-M84-M114</f>
        <v>86225.764308229249</v>
      </c>
      <c r="M19" s="48">
        <f t="shared" ref="M19:P19" si="11">L19+M12-N76-N84-N114</f>
        <v>99842.309139677323</v>
      </c>
      <c r="N19" s="48">
        <f t="shared" si="11"/>
        <v>114006.46865892517</v>
      </c>
      <c r="O19" s="48">
        <f t="shared" si="11"/>
        <v>128732.39134346381</v>
      </c>
      <c r="P19" s="48">
        <f t="shared" si="11"/>
        <v>143844.45581291738</v>
      </c>
    </row>
    <row r="20" spans="1:16" x14ac:dyDescent="0.25">
      <c r="A20" t="s">
        <v>71</v>
      </c>
      <c r="B20">
        <v>268.8</v>
      </c>
      <c r="C20">
        <v>83.78</v>
      </c>
      <c r="D20">
        <v>45.72</v>
      </c>
      <c r="E20">
        <v>35.92</v>
      </c>
      <c r="F20">
        <v>13.44</v>
      </c>
      <c r="G20">
        <v>277.45</v>
      </c>
      <c r="H20">
        <v>270.83</v>
      </c>
      <c r="I20">
        <v>249.44</v>
      </c>
      <c r="J20">
        <v>306.04000000000002</v>
      </c>
      <c r="K20">
        <v>303.43</v>
      </c>
      <c r="L20" s="47">
        <f>M113</f>
        <v>288.25850000000003</v>
      </c>
      <c r="M20" s="47">
        <f t="shared" ref="M20:P20" si="12">N113</f>
        <v>273.84557500000005</v>
      </c>
      <c r="N20" s="47">
        <f t="shared" si="12"/>
        <v>260.15329625000004</v>
      </c>
      <c r="O20" s="47">
        <f t="shared" si="12"/>
        <v>247.14563143750004</v>
      </c>
      <c r="P20" s="47">
        <f t="shared" si="12"/>
        <v>234.78834986562504</v>
      </c>
    </row>
    <row r="21" spans="1:16" x14ac:dyDescent="0.25">
      <c r="A21" t="s">
        <v>72</v>
      </c>
      <c r="B21">
        <v>13947.93</v>
      </c>
      <c r="C21">
        <v>8888.0400000000009</v>
      </c>
      <c r="D21">
        <v>9439.67</v>
      </c>
      <c r="E21">
        <v>11694.85</v>
      </c>
      <c r="F21">
        <v>12584.73</v>
      </c>
      <c r="G21">
        <v>11760.04</v>
      </c>
      <c r="H21">
        <v>13142.59</v>
      </c>
      <c r="I21">
        <v>14491.01</v>
      </c>
      <c r="J21">
        <v>16369.66</v>
      </c>
      <c r="K21">
        <v>16943.54</v>
      </c>
      <c r="L21" s="47">
        <f>L27/1.5</f>
        <v>29514.658300486171</v>
      </c>
      <c r="M21" s="47">
        <f t="shared" ref="M21:P21" si="13">M27/1.5</f>
        <v>39556.847106909889</v>
      </c>
      <c r="N21" s="47">
        <f t="shared" si="13"/>
        <v>50036.44929077616</v>
      </c>
      <c r="O21" s="47">
        <f t="shared" si="13"/>
        <v>60968.322439330543</v>
      </c>
      <c r="P21" s="47">
        <f t="shared" si="13"/>
        <v>72241.217796409517</v>
      </c>
    </row>
    <row r="22" spans="1:16" x14ac:dyDescent="0.25">
      <c r="A22" t="s">
        <v>26</v>
      </c>
      <c r="B22">
        <v>45952.22</v>
      </c>
      <c r="C22">
        <v>51651.34</v>
      </c>
      <c r="D22">
        <v>55898.32</v>
      </c>
      <c r="E22">
        <v>64240.88</v>
      </c>
      <c r="F22">
        <v>71739.039999999994</v>
      </c>
      <c r="G22">
        <v>77310.75</v>
      </c>
      <c r="H22">
        <v>73760.759999999995</v>
      </c>
      <c r="I22">
        <v>77196.02</v>
      </c>
      <c r="J22">
        <v>85830.96</v>
      </c>
      <c r="K22">
        <v>91753.97</v>
      </c>
      <c r="L22">
        <f>SUM(L18:L21)</f>
        <v>117277.15110871542</v>
      </c>
      <c r="M22">
        <f t="shared" ref="M22:P22" si="14">SUM(M18:M21)</f>
        <v>140921.47182158721</v>
      </c>
      <c r="N22">
        <f t="shared" si="14"/>
        <v>165551.54124595132</v>
      </c>
      <c r="O22">
        <f t="shared" si="14"/>
        <v>191196.32941423185</v>
      </c>
      <c r="P22">
        <f t="shared" si="14"/>
        <v>217568.9319591925</v>
      </c>
    </row>
    <row r="24" spans="1:16" x14ac:dyDescent="0.25">
      <c r="A24" t="s">
        <v>27</v>
      </c>
      <c r="B24">
        <v>15303.28</v>
      </c>
      <c r="C24">
        <v>15106.63</v>
      </c>
      <c r="D24">
        <v>15893.48</v>
      </c>
      <c r="E24">
        <v>16523.96</v>
      </c>
      <c r="F24">
        <v>19374.189999999999</v>
      </c>
      <c r="G24">
        <v>21713.34</v>
      </c>
      <c r="H24">
        <v>23298.48</v>
      </c>
      <c r="I24">
        <v>24231.59</v>
      </c>
      <c r="J24">
        <v>25851.27</v>
      </c>
      <c r="K24">
        <v>27820.22</v>
      </c>
      <c r="L24">
        <f>H81</f>
        <v>21713.34</v>
      </c>
      <c r="M24">
        <f t="shared" ref="M24:P24" si="15">I81</f>
        <v>23298.48</v>
      </c>
      <c r="N24">
        <f t="shared" si="15"/>
        <v>24231.59</v>
      </c>
      <c r="O24">
        <f t="shared" si="15"/>
        <v>25851.27</v>
      </c>
      <c r="P24">
        <f t="shared" si="15"/>
        <v>27820.22</v>
      </c>
    </row>
    <row r="25" spans="1:16" x14ac:dyDescent="0.25">
      <c r="A25" t="s">
        <v>28</v>
      </c>
      <c r="B25">
        <v>2700.2</v>
      </c>
      <c r="C25">
        <v>2559.7199999999998</v>
      </c>
      <c r="D25">
        <v>3729.89</v>
      </c>
      <c r="E25">
        <v>5508.33</v>
      </c>
      <c r="F25">
        <v>4136.42</v>
      </c>
      <c r="G25">
        <v>3256.46</v>
      </c>
      <c r="H25">
        <v>4011.29</v>
      </c>
      <c r="I25">
        <v>3225.54</v>
      </c>
      <c r="J25">
        <v>3003.3</v>
      </c>
      <c r="K25">
        <v>2860.78</v>
      </c>
      <c r="L25" s="47">
        <f>L22-L24-L26-L27</f>
        <v>15680.491325032577</v>
      </c>
      <c r="M25" s="47">
        <f t="shared" ref="M25:P25" si="16">M22-M24-M26-M27</f>
        <v>17529.021689792273</v>
      </c>
      <c r="N25" s="47">
        <f t="shared" si="16"/>
        <v>19615.195053104166</v>
      </c>
      <c r="O25" s="47">
        <f t="shared" si="16"/>
        <v>20499.55284780213</v>
      </c>
      <c r="P25" s="47">
        <f t="shared" si="16"/>
        <v>20276.277152298499</v>
      </c>
    </row>
    <row r="26" spans="1:16" x14ac:dyDescent="0.25">
      <c r="A26" t="s">
        <v>29</v>
      </c>
      <c r="B26">
        <v>6942.77</v>
      </c>
      <c r="C26">
        <v>11747.59</v>
      </c>
      <c r="D26">
        <v>17581.38</v>
      </c>
      <c r="E26">
        <v>22052.86</v>
      </c>
      <c r="F26">
        <v>25043.49</v>
      </c>
      <c r="G26">
        <v>28663.35</v>
      </c>
      <c r="H26">
        <v>24870.87</v>
      </c>
      <c r="I26">
        <v>24841.01</v>
      </c>
      <c r="J26">
        <v>29415.02</v>
      </c>
      <c r="K26">
        <v>31114.02</v>
      </c>
      <c r="L26" s="47">
        <f>M72</f>
        <v>35611.332332953592</v>
      </c>
      <c r="M26" s="47">
        <f t="shared" ref="M26:P26" si="17">N72</f>
        <v>40758.699471430111</v>
      </c>
      <c r="N26" s="47">
        <f t="shared" si="17"/>
        <v>46650.082256682923</v>
      </c>
      <c r="O26" s="47">
        <f t="shared" si="17"/>
        <v>53393.022907433922</v>
      </c>
      <c r="P26" s="47">
        <f t="shared" si="17"/>
        <v>61110.608112279719</v>
      </c>
    </row>
    <row r="27" spans="1:16" x14ac:dyDescent="0.25">
      <c r="A27" t="s">
        <v>73</v>
      </c>
      <c r="B27">
        <v>21005.97</v>
      </c>
      <c r="C27">
        <v>22237.4</v>
      </c>
      <c r="D27">
        <v>18693.57</v>
      </c>
      <c r="E27">
        <v>20155.73</v>
      </c>
      <c r="F27">
        <v>23184.94</v>
      </c>
      <c r="G27">
        <v>23677.599999999999</v>
      </c>
      <c r="H27">
        <v>21580.12</v>
      </c>
      <c r="I27">
        <v>24897.88</v>
      </c>
      <c r="J27">
        <v>27561.37</v>
      </c>
      <c r="K27">
        <v>29958.95</v>
      </c>
      <c r="L27" s="48">
        <f>K27+L8+(L19-K19)</f>
        <v>44271.987450729255</v>
      </c>
      <c r="M27" s="48">
        <f t="shared" ref="M27:P27" si="18">L27+M8+(M19-L19)</f>
        <v>59335.270660364833</v>
      </c>
      <c r="N27" s="48">
        <f t="shared" si="18"/>
        <v>75054.673936164239</v>
      </c>
      <c r="O27" s="48">
        <f t="shared" si="18"/>
        <v>91452.483658995814</v>
      </c>
      <c r="P27" s="48">
        <f t="shared" si="18"/>
        <v>108361.82669461428</v>
      </c>
    </row>
    <row r="28" spans="1:16" x14ac:dyDescent="0.25">
      <c r="A28" t="s">
        <v>26</v>
      </c>
      <c r="B28">
        <v>45952.22</v>
      </c>
      <c r="C28">
        <v>51651.34</v>
      </c>
      <c r="D28">
        <v>55898.32</v>
      </c>
      <c r="E28">
        <v>64240.88</v>
      </c>
      <c r="F28">
        <v>71739.039999999994</v>
      </c>
      <c r="G28">
        <v>77310.75</v>
      </c>
      <c r="H28">
        <v>73760.759999999995</v>
      </c>
      <c r="I28">
        <v>77196.02</v>
      </c>
      <c r="J28">
        <v>85830.96</v>
      </c>
      <c r="K28">
        <v>91753.97</v>
      </c>
      <c r="L28">
        <f>SUM(L24:L27)</f>
        <v>117277.15110871542</v>
      </c>
      <c r="M28">
        <f t="shared" ref="M28:P28" si="19">SUM(M24:M27)</f>
        <v>140921.47182158721</v>
      </c>
      <c r="N28">
        <f t="shared" si="19"/>
        <v>165551.54124595132</v>
      </c>
      <c r="O28">
        <f t="shared" si="19"/>
        <v>191196.32941423188</v>
      </c>
      <c r="P28">
        <f t="shared" si="19"/>
        <v>217568.9319591925</v>
      </c>
    </row>
    <row r="30" spans="1:16" x14ac:dyDescent="0.25">
      <c r="A30" t="s">
        <v>30</v>
      </c>
      <c r="B30">
        <v>7058.0400000000009</v>
      </c>
      <c r="C30">
        <v>13349.36</v>
      </c>
      <c r="D30">
        <v>9253.9</v>
      </c>
      <c r="E30">
        <v>8460.8799999999992</v>
      </c>
      <c r="F30">
        <v>10600.21</v>
      </c>
      <c r="G30">
        <v>11917.559999999998</v>
      </c>
      <c r="H30">
        <v>8437.5299999999988</v>
      </c>
      <c r="I30">
        <v>10406.870000000001</v>
      </c>
      <c r="J30">
        <v>11191.71</v>
      </c>
      <c r="K30">
        <v>13015.41</v>
      </c>
      <c r="L30" s="48">
        <f>L27-L21</f>
        <v>14757.329150243084</v>
      </c>
      <c r="M30" s="48">
        <f t="shared" ref="M30:P30" si="20">M27-M21</f>
        <v>19778.423553454944</v>
      </c>
      <c r="N30" s="48">
        <f t="shared" si="20"/>
        <v>25018.22464538808</v>
      </c>
      <c r="O30" s="48">
        <f t="shared" si="20"/>
        <v>30484.161219665271</v>
      </c>
      <c r="P30" s="48">
        <f t="shared" si="20"/>
        <v>36120.608898204766</v>
      </c>
    </row>
    <row r="31" spans="1:16" x14ac:dyDescent="0.25">
      <c r="A31" t="s">
        <v>44</v>
      </c>
      <c r="B31">
        <v>1982.07</v>
      </c>
      <c r="C31">
        <v>1917.18</v>
      </c>
      <c r="D31">
        <v>2474.29</v>
      </c>
      <c r="E31">
        <v>2682.29</v>
      </c>
      <c r="F31">
        <v>4035.28</v>
      </c>
      <c r="G31">
        <v>2562.48</v>
      </c>
      <c r="H31">
        <v>2501.6999999999998</v>
      </c>
      <c r="I31">
        <v>2461.9</v>
      </c>
      <c r="J31">
        <v>2956.17</v>
      </c>
      <c r="K31">
        <v>4025.82</v>
      </c>
    </row>
    <row r="32" spans="1:16" x14ac:dyDescent="0.25">
      <c r="A32" t="s">
        <v>45</v>
      </c>
      <c r="B32">
        <v>8586.8700000000008</v>
      </c>
      <c r="C32">
        <v>9062.1</v>
      </c>
      <c r="D32">
        <v>8116.1</v>
      </c>
      <c r="E32">
        <v>7495.09</v>
      </c>
      <c r="F32">
        <v>7859.56</v>
      </c>
      <c r="G32">
        <v>8879.33</v>
      </c>
      <c r="H32">
        <v>10397.16</v>
      </c>
      <c r="I32">
        <v>10864.15</v>
      </c>
      <c r="J32">
        <v>11771.16</v>
      </c>
      <c r="K32">
        <v>14152.88</v>
      </c>
    </row>
    <row r="34" spans="2:11" x14ac:dyDescent="0.25">
      <c r="K34" t="s">
        <v>176</v>
      </c>
    </row>
    <row r="35" spans="2:11" x14ac:dyDescent="0.25">
      <c r="K35" t="s">
        <v>177</v>
      </c>
    </row>
    <row r="37" spans="2:11" x14ac:dyDescent="0.25">
      <c r="F37" t="s">
        <v>97</v>
      </c>
      <c r="G37" t="s">
        <v>98</v>
      </c>
    </row>
    <row r="38" spans="2:11" x14ac:dyDescent="0.25">
      <c r="B38" t="s">
        <v>96</v>
      </c>
      <c r="C38" t="s">
        <v>6</v>
      </c>
      <c r="D38" t="s">
        <v>7</v>
      </c>
      <c r="F38">
        <f>_xlfn.FORECAST.ETS.SEASONALITY(C39:C48,B39:B48)</f>
        <v>0</v>
      </c>
    </row>
    <row r="39" spans="2:11" x14ac:dyDescent="0.25">
      <c r="B39" s="30">
        <v>42094</v>
      </c>
      <c r="C39">
        <v>38817.15</v>
      </c>
      <c r="D39">
        <v>24565.529999999995</v>
      </c>
    </row>
    <row r="40" spans="2:11" x14ac:dyDescent="0.25">
      <c r="B40" s="30">
        <v>42460</v>
      </c>
      <c r="C40">
        <v>39192.1</v>
      </c>
      <c r="D40">
        <v>24660.609999999997</v>
      </c>
    </row>
    <row r="41" spans="2:11" x14ac:dyDescent="0.25">
      <c r="B41" s="30">
        <v>42825</v>
      </c>
      <c r="C41">
        <v>42767.6</v>
      </c>
      <c r="D41">
        <v>27298.09</v>
      </c>
    </row>
    <row r="42" spans="2:11" x14ac:dyDescent="0.25">
      <c r="B42" s="30">
        <v>43190</v>
      </c>
      <c r="C42">
        <v>43448.94</v>
      </c>
      <c r="D42">
        <v>26928.35</v>
      </c>
    </row>
    <row r="43" spans="2:11" x14ac:dyDescent="0.25">
      <c r="B43" s="30">
        <v>43555</v>
      </c>
      <c r="C43">
        <v>48339.58</v>
      </c>
      <c r="D43">
        <v>29802.19</v>
      </c>
    </row>
    <row r="44" spans="2:11" x14ac:dyDescent="0.25">
      <c r="B44" s="30">
        <v>43921</v>
      </c>
      <c r="C44">
        <v>49387.7</v>
      </c>
      <c r="D44">
        <v>30044.16</v>
      </c>
    </row>
    <row r="45" spans="2:11" x14ac:dyDescent="0.25">
      <c r="B45" s="30">
        <v>44286</v>
      </c>
      <c r="C45">
        <v>49257.45</v>
      </c>
      <c r="D45">
        <v>32192.670000000002</v>
      </c>
    </row>
    <row r="46" spans="2:11" x14ac:dyDescent="0.25">
      <c r="B46" s="30">
        <v>44651</v>
      </c>
      <c r="C46">
        <v>60644.54</v>
      </c>
      <c r="D46">
        <v>40021.39</v>
      </c>
    </row>
    <row r="47" spans="2:11" x14ac:dyDescent="0.25">
      <c r="B47" s="30">
        <v>45016</v>
      </c>
      <c r="C47">
        <v>70919.03</v>
      </c>
      <c r="D47">
        <v>45214.770000000004</v>
      </c>
    </row>
    <row r="48" spans="2:11" x14ac:dyDescent="0.25">
      <c r="B48" s="30">
        <v>45382</v>
      </c>
      <c r="C48">
        <v>70866.22</v>
      </c>
      <c r="D48">
        <v>44633.659999999996</v>
      </c>
    </row>
    <row r="51" spans="1:4" x14ac:dyDescent="0.25">
      <c r="C51" t="s">
        <v>99</v>
      </c>
    </row>
    <row r="52" spans="1:4" x14ac:dyDescent="0.25">
      <c r="B52" t="s">
        <v>102</v>
      </c>
      <c r="C52">
        <f>CORREL(C39:C48,D39:D48)</f>
        <v>0.99471673808980743</v>
      </c>
    </row>
    <row r="53" spans="1:4" x14ac:dyDescent="0.25">
      <c r="C53" t="s">
        <v>100</v>
      </c>
    </row>
    <row r="56" spans="1:4" x14ac:dyDescent="0.25">
      <c r="C56" t="s">
        <v>101</v>
      </c>
    </row>
    <row r="57" spans="1:4" x14ac:dyDescent="0.25">
      <c r="C57" t="s">
        <v>103</v>
      </c>
    </row>
    <row r="58" spans="1:4" x14ac:dyDescent="0.25">
      <c r="C58" t="s">
        <v>106</v>
      </c>
    </row>
    <row r="61" spans="1:4" x14ac:dyDescent="0.25">
      <c r="A61" t="s">
        <v>108</v>
      </c>
      <c r="B61" t="s">
        <v>107</v>
      </c>
      <c r="C61" t="s">
        <v>104</v>
      </c>
      <c r="D61">
        <f>SLOPE(D39:D48,C39:C48)</f>
        <v>0.65153812343626327</v>
      </c>
    </row>
    <row r="62" spans="1:4" x14ac:dyDescent="0.25">
      <c r="A62" t="s">
        <v>109</v>
      </c>
      <c r="B62" t="s">
        <v>110</v>
      </c>
      <c r="C62" t="s">
        <v>105</v>
      </c>
      <c r="D62">
        <f>INTERCEPT(D39:D48,C39:C48)</f>
        <v>-929.48236986205302</v>
      </c>
    </row>
    <row r="64" spans="1:4" x14ac:dyDescent="0.25">
      <c r="C64" t="s">
        <v>111</v>
      </c>
    </row>
    <row r="66" spans="2:17" x14ac:dyDescent="0.25">
      <c r="D66" t="s">
        <v>117</v>
      </c>
      <c r="E66" t="s">
        <v>116</v>
      </c>
    </row>
    <row r="69" spans="2:17" x14ac:dyDescent="0.25">
      <c r="D69" t="s">
        <v>118</v>
      </c>
      <c r="E69" t="s">
        <v>119</v>
      </c>
    </row>
    <row r="70" spans="2:17" ht="32.25" x14ac:dyDescent="0.3">
      <c r="B70" s="35" t="s">
        <v>112</v>
      </c>
      <c r="C70" s="36" t="s">
        <v>113</v>
      </c>
      <c r="D70" s="38">
        <f>MEDIAN(D74:L74)</f>
        <v>0.14454295307882395</v>
      </c>
      <c r="E70" s="37" t="s">
        <v>115</v>
      </c>
      <c r="F70" s="38">
        <f>MEDIAN(D75:L75)</f>
        <v>9.0112753029020359E-2</v>
      </c>
    </row>
    <row r="71" spans="2:17" x14ac:dyDescent="0.25">
      <c r="B71" s="32" t="s">
        <v>2</v>
      </c>
      <c r="C71" s="30">
        <v>42094</v>
      </c>
      <c r="D71" s="30">
        <v>42460</v>
      </c>
      <c r="E71" s="30">
        <v>42825</v>
      </c>
      <c r="F71" s="30">
        <v>43190</v>
      </c>
      <c r="G71" s="30">
        <v>43555</v>
      </c>
      <c r="H71" s="30">
        <v>43921</v>
      </c>
      <c r="I71" s="30">
        <v>44286</v>
      </c>
      <c r="J71" s="30">
        <v>44651</v>
      </c>
      <c r="K71" s="30">
        <v>45016</v>
      </c>
      <c r="L71" s="30">
        <v>45382</v>
      </c>
      <c r="M71" s="30">
        <v>45747</v>
      </c>
      <c r="N71" s="30">
        <v>46112</v>
      </c>
      <c r="O71" s="30">
        <v>46477</v>
      </c>
      <c r="P71" s="30">
        <v>46843</v>
      </c>
      <c r="Q71" s="30">
        <v>47208</v>
      </c>
    </row>
    <row r="72" spans="2:17" x14ac:dyDescent="0.25">
      <c r="B72" t="s">
        <v>29</v>
      </c>
      <c r="C72">
        <v>6942.77</v>
      </c>
      <c r="D72">
        <v>11747.59</v>
      </c>
      <c r="E72">
        <v>17581.38</v>
      </c>
      <c r="F72">
        <v>22052.86</v>
      </c>
      <c r="G72">
        <v>25043.49</v>
      </c>
      <c r="H72">
        <v>28663.35</v>
      </c>
      <c r="I72">
        <v>24870.87</v>
      </c>
      <c r="J72">
        <v>24841.01</v>
      </c>
      <c r="K72">
        <v>29415.02</v>
      </c>
      <c r="L72">
        <v>31114.02</v>
      </c>
      <c r="M72" s="47">
        <f>L72*(1+$D$70)</f>
        <v>35611.332332953592</v>
      </c>
      <c r="N72">
        <f t="shared" ref="N72:Q72" si="21">M72*(1+$D$70)</f>
        <v>40758.699471430111</v>
      </c>
      <c r="O72">
        <f t="shared" si="21"/>
        <v>46650.082256682923</v>
      </c>
      <c r="P72">
        <f t="shared" si="21"/>
        <v>53393.022907433922</v>
      </c>
      <c r="Q72">
        <f t="shared" si="21"/>
        <v>61110.608112279719</v>
      </c>
    </row>
    <row r="73" spans="2:17" x14ac:dyDescent="0.25">
      <c r="B73" t="s">
        <v>9</v>
      </c>
      <c r="C73">
        <v>1229.3499999999999</v>
      </c>
      <c r="D73">
        <v>1483.11</v>
      </c>
      <c r="E73">
        <v>1758.63</v>
      </c>
      <c r="F73">
        <v>2239.81</v>
      </c>
      <c r="G73">
        <v>2080.44</v>
      </c>
      <c r="H73">
        <v>2417.3200000000002</v>
      </c>
      <c r="I73">
        <v>2576.9499999999998</v>
      </c>
      <c r="J73">
        <v>1909.72</v>
      </c>
      <c r="K73">
        <v>2097.64</v>
      </c>
      <c r="L73">
        <v>2803.77</v>
      </c>
      <c r="M73">
        <f>M72*$F$70</f>
        <v>3209.0351955538144</v>
      </c>
      <c r="N73">
        <f t="shared" ref="N73:Q73" si="22">N72*$F$70</f>
        <v>3672.8786192530442</v>
      </c>
      <c r="O73">
        <f t="shared" si="22"/>
        <v>4203.7673411799533</v>
      </c>
      <c r="P73">
        <f t="shared" si="22"/>
        <v>4811.39228673042</v>
      </c>
      <c r="Q73">
        <f t="shared" si="22"/>
        <v>5506.8451362751102</v>
      </c>
    </row>
    <row r="74" spans="2:17" ht="15.75" x14ac:dyDescent="0.25">
      <c r="B74" s="33" t="s">
        <v>113</v>
      </c>
      <c r="D74" s="5">
        <f>(D72-C72)/C72</f>
        <v>0.69206094973620036</v>
      </c>
      <c r="E74" s="5">
        <f t="shared" ref="E74:L74" si="23">(E72-D72)/D72</f>
        <v>0.49659462068390203</v>
      </c>
      <c r="F74" s="5">
        <f t="shared" si="23"/>
        <v>0.25433043367471719</v>
      </c>
      <c r="G74" s="5">
        <f t="shared" si="23"/>
        <v>0.13561188888878817</v>
      </c>
      <c r="H74" s="5">
        <f t="shared" si="23"/>
        <v>0.14454295307882395</v>
      </c>
      <c r="I74" s="5">
        <f t="shared" si="23"/>
        <v>-0.13231112204260842</v>
      </c>
      <c r="J74" s="5">
        <f t="shared" si="23"/>
        <v>-1.2006013460727583E-3</v>
      </c>
      <c r="K74" s="5">
        <f t="shared" si="23"/>
        <v>0.18413140206456993</v>
      </c>
      <c r="L74" s="5">
        <f t="shared" si="23"/>
        <v>5.7759607166678793E-2</v>
      </c>
    </row>
    <row r="75" spans="2:17" x14ac:dyDescent="0.25">
      <c r="B75" s="34" t="s">
        <v>114</v>
      </c>
      <c r="D75" s="5">
        <f>D73/D72</f>
        <v>0.12624802193471171</v>
      </c>
      <c r="E75" s="5">
        <f t="shared" ref="E75:L75" si="24">E73/E72</f>
        <v>0.10002798415141474</v>
      </c>
      <c r="F75" s="5">
        <f t="shared" si="24"/>
        <v>0.10156551123074285</v>
      </c>
      <c r="G75" s="5">
        <f t="shared" si="24"/>
        <v>8.3073086059490903E-2</v>
      </c>
      <c r="H75" s="5">
        <f t="shared" si="24"/>
        <v>8.4334873627820897E-2</v>
      </c>
      <c r="I75" s="5">
        <f t="shared" si="24"/>
        <v>0.10361318281185981</v>
      </c>
      <c r="J75" s="5">
        <f t="shared" si="24"/>
        <v>7.6877711494017356E-2</v>
      </c>
      <c r="K75" s="5">
        <f t="shared" si="24"/>
        <v>7.1311867202538015E-2</v>
      </c>
      <c r="L75" s="5">
        <f t="shared" si="24"/>
        <v>9.0112753029020359E-2</v>
      </c>
    </row>
    <row r="76" spans="2:17" x14ac:dyDescent="0.25">
      <c r="B76" t="s">
        <v>120</v>
      </c>
      <c r="D76">
        <f>D72-C72</f>
        <v>4804.82</v>
      </c>
      <c r="E76">
        <f t="shared" ref="E76:L76" si="25">E72-D72</f>
        <v>5833.7900000000009</v>
      </c>
      <c r="F76">
        <f t="shared" si="25"/>
        <v>4471.4799999999996</v>
      </c>
      <c r="G76">
        <f t="shared" si="25"/>
        <v>2990.630000000001</v>
      </c>
      <c r="H76">
        <f t="shared" si="25"/>
        <v>3619.8599999999969</v>
      </c>
      <c r="I76">
        <f t="shared" si="25"/>
        <v>-3792.4799999999996</v>
      </c>
      <c r="J76">
        <f t="shared" si="25"/>
        <v>-29.860000000000582</v>
      </c>
      <c r="K76">
        <f t="shared" si="25"/>
        <v>4574.010000000002</v>
      </c>
      <c r="L76">
        <f t="shared" si="25"/>
        <v>1699</v>
      </c>
      <c r="M76">
        <f>M72-L72</f>
        <v>4497.312332953592</v>
      </c>
      <c r="N76">
        <f t="shared" ref="N76:Q76" si="26">N72-M72</f>
        <v>5147.3671384765184</v>
      </c>
      <c r="O76">
        <f t="shared" si="26"/>
        <v>5891.382785252812</v>
      </c>
      <c r="P76">
        <f t="shared" si="26"/>
        <v>6742.9406507509993</v>
      </c>
      <c r="Q76">
        <f t="shared" si="26"/>
        <v>7717.5852048457964</v>
      </c>
    </row>
    <row r="78" spans="2:17" x14ac:dyDescent="0.25">
      <c r="C78" t="s">
        <v>124</v>
      </c>
    </row>
    <row r="79" spans="2:17" ht="30" x14ac:dyDescent="0.25">
      <c r="B79" s="39" t="s">
        <v>121</v>
      </c>
      <c r="C79" s="39" t="s">
        <v>122</v>
      </c>
      <c r="D79" s="39">
        <v>20</v>
      </c>
      <c r="E79" s="39" t="s">
        <v>123</v>
      </c>
      <c r="F79" s="40">
        <v>0.1</v>
      </c>
      <c r="G79" s="41" t="s">
        <v>128</v>
      </c>
      <c r="H79" s="42">
        <v>7.4999999999999997E-2</v>
      </c>
    </row>
    <row r="80" spans="2:17" x14ac:dyDescent="0.25">
      <c r="B80" s="32" t="s">
        <v>2</v>
      </c>
      <c r="C80" s="30">
        <v>42094</v>
      </c>
      <c r="D80" s="30">
        <v>42460</v>
      </c>
      <c r="E80" s="30">
        <v>42825</v>
      </c>
      <c r="F80" s="30">
        <v>43190</v>
      </c>
      <c r="G80" s="30">
        <v>43555</v>
      </c>
      <c r="H80" s="30">
        <v>43921</v>
      </c>
      <c r="I80" s="30">
        <v>44286</v>
      </c>
      <c r="J80" s="30">
        <v>44651</v>
      </c>
      <c r="K80" s="30">
        <v>45016</v>
      </c>
      <c r="L80" s="30">
        <v>45382</v>
      </c>
      <c r="M80" s="30">
        <v>45747</v>
      </c>
      <c r="N80" s="30">
        <v>46112</v>
      </c>
      <c r="O80" s="30">
        <v>46477</v>
      </c>
      <c r="P80" s="30">
        <v>46843</v>
      </c>
      <c r="Q80" s="30">
        <v>47208</v>
      </c>
    </row>
    <row r="81" spans="2:17" x14ac:dyDescent="0.25">
      <c r="B81" t="s">
        <v>27</v>
      </c>
      <c r="C81">
        <v>15303.28</v>
      </c>
      <c r="D81">
        <v>15106.63</v>
      </c>
      <c r="E81">
        <v>15893.48</v>
      </c>
      <c r="F81">
        <v>16523.96</v>
      </c>
      <c r="G81">
        <v>19374.189999999999</v>
      </c>
      <c r="H81">
        <v>21713.34</v>
      </c>
      <c r="I81">
        <v>23298.48</v>
      </c>
      <c r="J81">
        <v>24231.59</v>
      </c>
      <c r="K81">
        <v>25851.27</v>
      </c>
      <c r="L81">
        <v>27820.22</v>
      </c>
      <c r="M81">
        <f>L81*(1+$H$79)</f>
        <v>29906.736499999999</v>
      </c>
      <c r="N81">
        <f t="shared" ref="N81:Q81" si="27">M81*(1+$H$79)</f>
        <v>32149.741737499997</v>
      </c>
      <c r="O81">
        <f t="shared" si="27"/>
        <v>34560.972367812494</v>
      </c>
      <c r="P81">
        <f t="shared" si="27"/>
        <v>37153.045295398428</v>
      </c>
      <c r="Q81">
        <f t="shared" si="27"/>
        <v>39939.52369255331</v>
      </c>
    </row>
    <row r="82" spans="2:17" x14ac:dyDescent="0.25">
      <c r="B82" t="s">
        <v>10</v>
      </c>
      <c r="C82">
        <v>1027.96</v>
      </c>
      <c r="D82">
        <v>1077.4000000000001</v>
      </c>
      <c r="E82">
        <v>1152.79</v>
      </c>
      <c r="F82">
        <v>1236.28</v>
      </c>
      <c r="G82">
        <v>1396.61</v>
      </c>
      <c r="H82">
        <v>1644.91</v>
      </c>
      <c r="I82">
        <v>1645.59</v>
      </c>
      <c r="J82">
        <v>1732.41</v>
      </c>
      <c r="K82">
        <v>1809.01</v>
      </c>
      <c r="L82">
        <v>1816.39</v>
      </c>
      <c r="M82" s="43">
        <f>SLN(M81,M81*$F$79,$D$79)</f>
        <v>1345.8031424999999</v>
      </c>
      <c r="N82" s="43">
        <f t="shared" ref="N82:Q82" si="28">SLN(N81,N81*$F$79,$D$79)</f>
        <v>1446.7383781874998</v>
      </c>
      <c r="O82" s="43">
        <f t="shared" si="28"/>
        <v>1555.2437565515622</v>
      </c>
      <c r="P82" s="43">
        <f t="shared" si="28"/>
        <v>1671.8870382929294</v>
      </c>
      <c r="Q82" s="43">
        <f t="shared" si="28"/>
        <v>1797.2785661648988</v>
      </c>
    </row>
    <row r="83" spans="2:17" x14ac:dyDescent="0.25">
      <c r="B83" t="s">
        <v>125</v>
      </c>
      <c r="D83" s="5">
        <f>(D81-C81)/C81</f>
        <v>-1.2850186365276035E-2</v>
      </c>
      <c r="E83" s="5">
        <f t="shared" ref="E83:L83" si="29">(E81-D81)/D81</f>
        <v>5.2086401798415692E-2</v>
      </c>
      <c r="F83" s="5">
        <f t="shared" si="29"/>
        <v>3.9669097013366461E-2</v>
      </c>
      <c r="G83" s="5">
        <f t="shared" si="29"/>
        <v>0.17249073466650849</v>
      </c>
      <c r="H83" s="5">
        <f t="shared" si="29"/>
        <v>0.12073537009805321</v>
      </c>
      <c r="I83" s="5">
        <f t="shared" si="29"/>
        <v>7.3003047895901757E-2</v>
      </c>
      <c r="J83" s="5">
        <f t="shared" si="29"/>
        <v>4.0050252205294103E-2</v>
      </c>
      <c r="K83" s="5">
        <f t="shared" si="29"/>
        <v>6.6841672378907049E-2</v>
      </c>
      <c r="L83" s="5">
        <f t="shared" si="29"/>
        <v>7.6164536597234905E-2</v>
      </c>
    </row>
    <row r="84" spans="2:17" x14ac:dyDescent="0.25">
      <c r="B84" t="s">
        <v>126</v>
      </c>
      <c r="D84">
        <f>D81-C81</f>
        <v>-196.65000000000146</v>
      </c>
      <c r="E84">
        <f t="shared" ref="E84:Q84" si="30">E81-D81</f>
        <v>786.85000000000036</v>
      </c>
      <c r="F84">
        <f t="shared" si="30"/>
        <v>630.47999999999956</v>
      </c>
      <c r="G84">
        <f t="shared" si="30"/>
        <v>2850.2299999999996</v>
      </c>
      <c r="H84">
        <f t="shared" si="30"/>
        <v>2339.1500000000015</v>
      </c>
      <c r="I84">
        <f t="shared" si="30"/>
        <v>1585.1399999999994</v>
      </c>
      <c r="J84">
        <f t="shared" si="30"/>
        <v>933.11000000000058</v>
      </c>
      <c r="K84">
        <f t="shared" si="30"/>
        <v>1619.6800000000003</v>
      </c>
      <c r="L84">
        <f t="shared" si="30"/>
        <v>1968.9500000000007</v>
      </c>
      <c r="M84">
        <f t="shared" si="30"/>
        <v>2086.5164999999979</v>
      </c>
      <c r="N84">
        <f t="shared" si="30"/>
        <v>2243.0052374999977</v>
      </c>
      <c r="O84">
        <f t="shared" si="30"/>
        <v>2411.2306303124969</v>
      </c>
      <c r="P84">
        <f t="shared" si="30"/>
        <v>2592.0729275859339</v>
      </c>
      <c r="Q84">
        <f t="shared" si="30"/>
        <v>2786.4783971548823</v>
      </c>
    </row>
    <row r="93" spans="2:17" x14ac:dyDescent="0.25">
      <c r="J93" t="s">
        <v>127</v>
      </c>
    </row>
    <row r="107" spans="2:17" x14ac:dyDescent="0.25">
      <c r="L107" t="s">
        <v>136</v>
      </c>
      <c r="M107" t="s">
        <v>137</v>
      </c>
    </row>
    <row r="108" spans="2:17" x14ac:dyDescent="0.25">
      <c r="L108" t="s">
        <v>138</v>
      </c>
      <c r="M108" t="s">
        <v>139</v>
      </c>
    </row>
    <row r="109" spans="2:17" ht="18.75" x14ac:dyDescent="0.3">
      <c r="C109" s="100" t="s">
        <v>135</v>
      </c>
      <c r="D109" s="100"/>
      <c r="E109" s="100"/>
      <c r="F109" s="100"/>
    </row>
    <row r="111" spans="2:17" x14ac:dyDescent="0.25">
      <c r="B111" s="44" t="s">
        <v>129</v>
      </c>
      <c r="C111" s="44" t="s">
        <v>130</v>
      </c>
      <c r="D111" s="45">
        <v>0.11</v>
      </c>
      <c r="E111" s="44" t="s">
        <v>131</v>
      </c>
      <c r="F111" s="45">
        <v>0.05</v>
      </c>
      <c r="G111" s="44"/>
      <c r="H111" s="44"/>
      <c r="I111" s="44"/>
      <c r="J111" s="44"/>
      <c r="K111" s="44"/>
    </row>
    <row r="112" spans="2:17" x14ac:dyDescent="0.25">
      <c r="B112" s="29" t="s">
        <v>2</v>
      </c>
      <c r="C112" s="28">
        <v>42094</v>
      </c>
      <c r="D112" s="28">
        <v>42460</v>
      </c>
      <c r="E112" s="28">
        <v>42825</v>
      </c>
      <c r="F112" s="28">
        <v>43190</v>
      </c>
      <c r="G112" s="28">
        <v>43555</v>
      </c>
      <c r="H112" s="28">
        <v>43921</v>
      </c>
      <c r="I112" s="28">
        <v>44286</v>
      </c>
      <c r="J112" s="28">
        <v>44651</v>
      </c>
      <c r="K112" s="28">
        <v>45016</v>
      </c>
      <c r="L112" s="28">
        <v>45382</v>
      </c>
      <c r="M112" s="46">
        <v>45747</v>
      </c>
      <c r="N112" s="46">
        <v>46112</v>
      </c>
      <c r="O112" s="46">
        <v>46477</v>
      </c>
      <c r="P112" s="46">
        <v>46843</v>
      </c>
      <c r="Q112" s="46">
        <v>47208</v>
      </c>
    </row>
    <row r="113" spans="1:18" x14ac:dyDescent="0.25">
      <c r="A113" t="s">
        <v>133</v>
      </c>
      <c r="B113" t="s">
        <v>71</v>
      </c>
      <c r="C113">
        <v>268.8</v>
      </c>
      <c r="D113">
        <v>83.78</v>
      </c>
      <c r="E113">
        <v>45.72</v>
      </c>
      <c r="F113">
        <v>35.92</v>
      </c>
      <c r="G113">
        <v>13.44</v>
      </c>
      <c r="H113">
        <v>277.45</v>
      </c>
      <c r="I113">
        <v>270.83</v>
      </c>
      <c r="J113">
        <v>249.44</v>
      </c>
      <c r="K113">
        <v>306.04000000000002</v>
      </c>
      <c r="L113">
        <v>303.43</v>
      </c>
      <c r="M113" s="47">
        <f>L113-M114</f>
        <v>288.25850000000003</v>
      </c>
      <c r="N113" s="47">
        <f t="shared" ref="N113:R113" si="31">M113-N114</f>
        <v>273.84557500000005</v>
      </c>
      <c r="O113" s="47">
        <f t="shared" si="31"/>
        <v>260.15329625000004</v>
      </c>
      <c r="P113" s="47">
        <f t="shared" si="31"/>
        <v>247.14563143750004</v>
      </c>
      <c r="Q113" s="47">
        <f t="shared" si="31"/>
        <v>234.78834986562504</v>
      </c>
      <c r="R113" s="47">
        <f t="shared" si="31"/>
        <v>223.04893237234378</v>
      </c>
    </row>
    <row r="114" spans="1:18" x14ac:dyDescent="0.25">
      <c r="B114" t="s">
        <v>134</v>
      </c>
      <c r="J114" s="47">
        <f t="shared" ref="J114:L114" si="32">IF(AND(H12&gt;0,I113&lt;H12),I113*$F$111,IF(AND(H12&gt;0,I113&gt;H12),H12*$F$111,0))</f>
        <v>13.541499999999999</v>
      </c>
      <c r="K114" s="47">
        <f t="shared" si="32"/>
        <v>12.472000000000001</v>
      </c>
      <c r="L114" s="47">
        <f t="shared" si="32"/>
        <v>15.302000000000001</v>
      </c>
      <c r="M114" s="47">
        <f>IF(AND(K12&gt;0,L113&lt;K12),L113*$F$111,IF(AND(K12&gt;0,L113&gt;K12),K12*$F$111,0))</f>
        <v>15.171500000000002</v>
      </c>
      <c r="N114" s="47">
        <f t="shared" ref="N114:R114" si="33">IF(AND(L12&gt;0,M113&lt;L12),M113*$F$111,IF(AND(L12&gt;0,M113&gt;L12),L12*$F$111,0))</f>
        <v>14.412925000000001</v>
      </c>
      <c r="O114" s="47">
        <f t="shared" si="33"/>
        <v>13.692278750000003</v>
      </c>
      <c r="P114" s="47">
        <f t="shared" si="33"/>
        <v>13.007664812500003</v>
      </c>
      <c r="Q114" s="47">
        <f t="shared" si="33"/>
        <v>12.357281571875003</v>
      </c>
      <c r="R114" s="47">
        <f t="shared" si="33"/>
        <v>11.739417493281252</v>
      </c>
    </row>
    <row r="115" spans="1:18" x14ac:dyDescent="0.25">
      <c r="B115" t="s">
        <v>132</v>
      </c>
      <c r="M115">
        <f>L113*$D$111</f>
        <v>33.377299999999998</v>
      </c>
      <c r="N115">
        <f t="shared" ref="N115:R115" si="34">M113*$D$111</f>
        <v>31.708435000000001</v>
      </c>
      <c r="O115">
        <f t="shared" si="34"/>
        <v>30.123013250000007</v>
      </c>
      <c r="P115">
        <f t="shared" si="34"/>
        <v>28.616862587500005</v>
      </c>
      <c r="Q115">
        <f t="shared" si="34"/>
        <v>27.186019458125006</v>
      </c>
      <c r="R115">
        <f t="shared" si="34"/>
        <v>25.826718485218755</v>
      </c>
    </row>
    <row r="128" spans="1:18" x14ac:dyDescent="0.25">
      <c r="B128" s="32" t="s">
        <v>140</v>
      </c>
      <c r="C128" t="s">
        <v>147</v>
      </c>
    </row>
    <row r="129" spans="1:6" x14ac:dyDescent="0.25">
      <c r="B129" s="29" t="s">
        <v>159</v>
      </c>
    </row>
    <row r="131" spans="1:6" x14ac:dyDescent="0.25">
      <c r="B131" s="49" t="s">
        <v>141</v>
      </c>
      <c r="C131" s="49">
        <v>11200</v>
      </c>
      <c r="D131" t="s">
        <v>158</v>
      </c>
    </row>
    <row r="132" spans="1:6" x14ac:dyDescent="0.25">
      <c r="B132" s="49" t="s">
        <v>142</v>
      </c>
      <c r="C132" s="49">
        <v>23500</v>
      </c>
      <c r="D132" t="s">
        <v>158</v>
      </c>
    </row>
    <row r="133" spans="1:6" x14ac:dyDescent="0.25">
      <c r="A133" t="s">
        <v>149</v>
      </c>
      <c r="B133" s="49" t="s">
        <v>143</v>
      </c>
      <c r="C133" s="51">
        <f>RATE(5,0,-C131,C132)</f>
        <v>0.15976491902709961</v>
      </c>
      <c r="D133" t="s">
        <v>156</v>
      </c>
    </row>
    <row r="134" spans="1:6" x14ac:dyDescent="0.25">
      <c r="A134" t="s">
        <v>148</v>
      </c>
      <c r="B134" s="49" t="s">
        <v>144</v>
      </c>
      <c r="C134" s="52">
        <v>7.0400000000000004E-2</v>
      </c>
      <c r="D134" t="s">
        <v>157</v>
      </c>
    </row>
    <row r="135" spans="1:6" x14ac:dyDescent="0.25">
      <c r="B135" s="49" t="s">
        <v>145</v>
      </c>
      <c r="C135" s="49">
        <v>0.24</v>
      </c>
    </row>
    <row r="136" spans="1:6" x14ac:dyDescent="0.25">
      <c r="B136" s="49" t="s">
        <v>146</v>
      </c>
      <c r="C136" s="52">
        <f>C134+C135*(C133-C134)</f>
        <v>9.1847580566503911E-2</v>
      </c>
    </row>
    <row r="140" spans="1:6" x14ac:dyDescent="0.25">
      <c r="B140" s="50" t="s">
        <v>150</v>
      </c>
    </row>
    <row r="141" spans="1:6" x14ac:dyDescent="0.25">
      <c r="B141" s="53" t="s">
        <v>151</v>
      </c>
      <c r="C141" s="53" t="s">
        <v>152</v>
      </c>
      <c r="D141" s="53" t="s">
        <v>153</v>
      </c>
    </row>
    <row r="142" spans="1:6" x14ac:dyDescent="0.25">
      <c r="A142" t="s">
        <v>161</v>
      </c>
      <c r="B142" s="49" t="s">
        <v>154</v>
      </c>
      <c r="C142" s="49">
        <f>K18</f>
        <v>1248.47</v>
      </c>
      <c r="D142" s="52">
        <f>C136</f>
        <v>9.1847580566503911E-2</v>
      </c>
      <c r="E142" t="s">
        <v>155</v>
      </c>
    </row>
    <row r="143" spans="1:6" x14ac:dyDescent="0.25">
      <c r="B143" s="49" t="s">
        <v>25</v>
      </c>
      <c r="C143" s="49">
        <f t="shared" ref="C143:C144" si="35">K19</f>
        <v>73258.53</v>
      </c>
      <c r="D143" s="52">
        <f>C136</f>
        <v>9.1847580566503911E-2</v>
      </c>
      <c r="E143" t="s">
        <v>146</v>
      </c>
    </row>
    <row r="144" spans="1:6" x14ac:dyDescent="0.25">
      <c r="B144" s="49" t="s">
        <v>71</v>
      </c>
      <c r="C144" s="49">
        <f t="shared" si="35"/>
        <v>303.43</v>
      </c>
      <c r="D144" s="51">
        <f>D111</f>
        <v>0.11</v>
      </c>
      <c r="E144" t="s">
        <v>162</v>
      </c>
      <c r="F144" t="s">
        <v>163</v>
      </c>
    </row>
    <row r="145" spans="1:9" x14ac:dyDescent="0.25">
      <c r="B145" s="49" t="s">
        <v>160</v>
      </c>
      <c r="C145" s="52">
        <f>SUMPRODUCT(C142:C144,D142:D144)/SUM(C142:C144)</f>
        <v>9.1921206511826073E-2</v>
      </c>
      <c r="D145" s="49"/>
    </row>
    <row r="147" spans="1:9" x14ac:dyDescent="0.25">
      <c r="B147" t="s">
        <v>193</v>
      </c>
      <c r="C147" t="s">
        <v>192</v>
      </c>
      <c r="D147" t="s">
        <v>194</v>
      </c>
      <c r="E147" t="s">
        <v>195</v>
      </c>
    </row>
    <row r="148" spans="1:9" x14ac:dyDescent="0.25">
      <c r="B148" s="56" t="s">
        <v>164</v>
      </c>
      <c r="C148" s="57">
        <v>45382</v>
      </c>
      <c r="D148" s="58">
        <v>45747</v>
      </c>
      <c r="E148" s="58">
        <v>46112</v>
      </c>
      <c r="F148" s="58">
        <v>46477</v>
      </c>
      <c r="G148" s="58">
        <v>46843</v>
      </c>
      <c r="H148" s="58">
        <v>47208</v>
      </c>
    </row>
    <row r="149" spans="1:9" x14ac:dyDescent="0.25">
      <c r="B149" s="49" t="s">
        <v>165</v>
      </c>
      <c r="C149" s="49">
        <f>K12</f>
        <v>20458.78</v>
      </c>
      <c r="D149" s="49">
        <f t="shared" ref="D149:H149" si="36">L12</f>
        <v>19566.234641182829</v>
      </c>
      <c r="E149" s="49">
        <f t="shared" si="36"/>
        <v>21021.330132424584</v>
      </c>
      <c r="F149" s="49">
        <f t="shared" si="36"/>
        <v>22480.465213563155</v>
      </c>
      <c r="G149" s="49">
        <f t="shared" si="36"/>
        <v>24073.94392768808</v>
      </c>
      <c r="H149" s="49">
        <f t="shared" si="36"/>
        <v>25628.485353026121</v>
      </c>
      <c r="I149" t="s">
        <v>178</v>
      </c>
    </row>
    <row r="150" spans="1:9" x14ac:dyDescent="0.25">
      <c r="A150" t="s">
        <v>172</v>
      </c>
      <c r="B150" s="49" t="s">
        <v>166</v>
      </c>
      <c r="C150" s="49">
        <f>K8</f>
        <v>1816.39</v>
      </c>
      <c r="D150" s="49">
        <f t="shared" ref="D150:H150" si="37">L8</f>
        <v>1345.8031424999999</v>
      </c>
      <c r="E150" s="49">
        <f t="shared" si="37"/>
        <v>1446.7383781874998</v>
      </c>
      <c r="F150" s="49">
        <f t="shared" si="37"/>
        <v>1555.2437565515622</v>
      </c>
      <c r="G150" s="49">
        <f t="shared" si="37"/>
        <v>1671.8870382929294</v>
      </c>
      <c r="H150" s="49">
        <f t="shared" si="37"/>
        <v>1797.2785661648988</v>
      </c>
      <c r="I150" t="s">
        <v>178</v>
      </c>
    </row>
    <row r="151" spans="1:9" x14ac:dyDescent="0.25">
      <c r="B151" s="49" t="s">
        <v>179</v>
      </c>
      <c r="C151" s="49">
        <f>K9</f>
        <v>80.06</v>
      </c>
      <c r="D151" s="54">
        <f t="shared" ref="D151:H151" si="38">L9</f>
        <v>33.377299999999998</v>
      </c>
      <c r="E151" s="54">
        <f t="shared" si="38"/>
        <v>31.708435000000001</v>
      </c>
      <c r="F151" s="54">
        <f t="shared" si="38"/>
        <v>30.123013250000007</v>
      </c>
      <c r="G151" s="54">
        <f t="shared" si="38"/>
        <v>28.616862587500005</v>
      </c>
      <c r="H151" s="54">
        <f t="shared" si="38"/>
        <v>27.186019458125006</v>
      </c>
      <c r="I151" t="s">
        <v>178</v>
      </c>
    </row>
    <row r="152" spans="1:9" x14ac:dyDescent="0.25">
      <c r="A152" t="s">
        <v>171</v>
      </c>
      <c r="B152" s="49" t="s">
        <v>167</v>
      </c>
      <c r="C152" s="49">
        <f>L84</f>
        <v>1968.9500000000007</v>
      </c>
      <c r="D152" s="54">
        <f t="shared" ref="D152:H152" si="39">M84</f>
        <v>2086.5164999999979</v>
      </c>
      <c r="E152" s="54">
        <f t="shared" si="39"/>
        <v>2243.0052374999977</v>
      </c>
      <c r="F152" s="54">
        <f t="shared" si="39"/>
        <v>2411.2306303124969</v>
      </c>
      <c r="G152" s="54">
        <f t="shared" si="39"/>
        <v>2592.0729275859339</v>
      </c>
      <c r="H152" s="54">
        <f t="shared" si="39"/>
        <v>2786.4783971548823</v>
      </c>
      <c r="I152" t="s">
        <v>126</v>
      </c>
    </row>
    <row r="153" spans="1:9" x14ac:dyDescent="0.25">
      <c r="A153" t="s">
        <v>170</v>
      </c>
      <c r="B153" s="49" t="s">
        <v>168</v>
      </c>
      <c r="C153" s="49">
        <f>K30-J30</f>
        <v>1823.7000000000007</v>
      </c>
      <c r="D153" s="54">
        <f t="shared" ref="D153:H153" si="40">L30-K30</f>
        <v>1741.919150243084</v>
      </c>
      <c r="E153" s="54">
        <f t="shared" si="40"/>
        <v>5021.0944032118605</v>
      </c>
      <c r="F153" s="54">
        <f t="shared" si="40"/>
        <v>5239.8010919331355</v>
      </c>
      <c r="G153" s="54">
        <f t="shared" si="40"/>
        <v>5465.9365742771915</v>
      </c>
      <c r="H153" s="54">
        <f t="shared" si="40"/>
        <v>5636.4476785394945</v>
      </c>
    </row>
    <row r="154" spans="1:9" x14ac:dyDescent="0.25">
      <c r="A154" t="s">
        <v>173</v>
      </c>
      <c r="B154" s="49" t="s">
        <v>169</v>
      </c>
      <c r="C154" s="54">
        <f>C149+C150+C151*70%-C152-C153</f>
        <v>18538.561999999998</v>
      </c>
      <c r="D154" s="54">
        <f t="shared" ref="D154:H154" si="41">D149+D150+D151*70%-D152-D153</f>
        <v>17106.966243439747</v>
      </c>
      <c r="E154" s="54">
        <f t="shared" si="41"/>
        <v>15226.164774400226</v>
      </c>
      <c r="F154" s="54">
        <f t="shared" si="41"/>
        <v>16405.763357144082</v>
      </c>
      <c r="G154" s="54">
        <f t="shared" si="41"/>
        <v>17707.853267929135</v>
      </c>
      <c r="H154" s="54">
        <f t="shared" si="41"/>
        <v>19021.868057117332</v>
      </c>
    </row>
    <row r="156" spans="1:9" x14ac:dyDescent="0.25">
      <c r="C156" t="s">
        <v>174</v>
      </c>
    </row>
    <row r="157" spans="1:9" x14ac:dyDescent="0.25">
      <c r="C157" t="s">
        <v>175</v>
      </c>
    </row>
    <row r="159" spans="1:9" x14ac:dyDescent="0.25">
      <c r="C159" t="s">
        <v>180</v>
      </c>
    </row>
    <row r="162" spans="1:4" x14ac:dyDescent="0.25">
      <c r="B162" s="101" t="s">
        <v>181</v>
      </c>
      <c r="C162" s="101"/>
    </row>
    <row r="163" spans="1:4" x14ac:dyDescent="0.25">
      <c r="B163" s="23" t="s">
        <v>182</v>
      </c>
      <c r="C163" s="47">
        <f>H154</f>
        <v>19021.868057117332</v>
      </c>
    </row>
    <row r="164" spans="1:4" x14ac:dyDescent="0.25">
      <c r="B164" t="s">
        <v>183</v>
      </c>
      <c r="C164" s="5">
        <v>7.0000000000000007E-2</v>
      </c>
      <c r="D164" t="s">
        <v>190</v>
      </c>
    </row>
    <row r="165" spans="1:4" x14ac:dyDescent="0.25">
      <c r="B165" t="s">
        <v>160</v>
      </c>
      <c r="C165" s="5">
        <f>C145</f>
        <v>9.1921206511826073E-2</v>
      </c>
    </row>
    <row r="166" spans="1:4" x14ac:dyDescent="0.25">
      <c r="A166" t="s">
        <v>191</v>
      </c>
      <c r="B166" t="s">
        <v>184</v>
      </c>
      <c r="C166" s="59">
        <f>H154*(1+C164)/(C165-C164)</f>
        <v>928479.86310129787</v>
      </c>
    </row>
    <row r="167" spans="1:4" x14ac:dyDescent="0.25">
      <c r="B167" t="s">
        <v>185</v>
      </c>
      <c r="C167" s="43">
        <f>NPV(C165,D154:H154)</f>
        <v>65750.02403254174</v>
      </c>
      <c r="D167" t="s">
        <v>196</v>
      </c>
    </row>
    <row r="168" spans="1:4" x14ac:dyDescent="0.25">
      <c r="B168" t="s">
        <v>188</v>
      </c>
      <c r="C168" s="43">
        <f>PV(C165,5,0,-C166)</f>
        <v>598158.09710920998</v>
      </c>
      <c r="D168" t="s">
        <v>197</v>
      </c>
    </row>
    <row r="169" spans="1:4" x14ac:dyDescent="0.25">
      <c r="B169" t="s">
        <v>186</v>
      </c>
      <c r="C169" s="43">
        <f>C168+C167</f>
        <v>663908.12114175176</v>
      </c>
    </row>
    <row r="170" spans="1:4" x14ac:dyDescent="0.25">
      <c r="B170" t="s">
        <v>187</v>
      </c>
      <c r="C170">
        <f>C144</f>
        <v>303.43</v>
      </c>
      <c r="D170" t="s">
        <v>199</v>
      </c>
    </row>
    <row r="171" spans="1:4" x14ac:dyDescent="0.25">
      <c r="B171" t="s">
        <v>189</v>
      </c>
      <c r="C171" s="43">
        <f>C169-C170</f>
        <v>663604.69114175171</v>
      </c>
      <c r="D171">
        <v>1251.08</v>
      </c>
    </row>
    <row r="172" spans="1:4" x14ac:dyDescent="0.25">
      <c r="B172" t="s">
        <v>200</v>
      </c>
      <c r="C172" s="43">
        <v>450</v>
      </c>
      <c r="D172" s="43">
        <f>C171/D171</f>
        <v>530.42546531137236</v>
      </c>
    </row>
    <row r="173" spans="1:4" x14ac:dyDescent="0.25">
      <c r="B173" t="s">
        <v>198</v>
      </c>
      <c r="C173" s="43">
        <f>D172-C172</f>
        <v>80.425465311372363</v>
      </c>
    </row>
  </sheetData>
  <mergeCells count="4">
    <mergeCell ref="L16:P16"/>
    <mergeCell ref="L2:P2"/>
    <mergeCell ref="C109:F109"/>
    <mergeCell ref="B162:C16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9E12F-5D36-4767-B049-D0A5893E5709}">
  <dimension ref="A1:K45"/>
  <sheetViews>
    <sheetView showGridLines="0" workbookViewId="0">
      <selection activeCell="B35" sqref="B35"/>
    </sheetView>
  </sheetViews>
  <sheetFormatPr defaultRowHeight="15" x14ac:dyDescent="0.25"/>
  <cols>
    <col min="2" max="2" width="19.5703125" customWidth="1"/>
    <col min="3" max="3" width="13" customWidth="1"/>
    <col min="5" max="5" width="12.5703125" customWidth="1"/>
    <col min="6" max="6" width="15" customWidth="1"/>
    <col min="8" max="8" width="14" customWidth="1"/>
    <col min="9" max="9" width="13.85546875" customWidth="1"/>
  </cols>
  <sheetData>
    <row r="1" spans="1:11" ht="15" customHeight="1" x14ac:dyDescent="0.25">
      <c r="B1" s="102" t="s">
        <v>201</v>
      </c>
      <c r="C1" s="102"/>
      <c r="D1" s="102"/>
      <c r="E1" s="102"/>
      <c r="F1" s="102"/>
      <c r="G1" s="102"/>
      <c r="H1" s="102"/>
      <c r="I1" s="102"/>
      <c r="J1" s="102"/>
      <c r="K1" s="63"/>
    </row>
    <row r="2" spans="1:11" ht="15" customHeight="1" x14ac:dyDescent="0.25">
      <c r="B2" s="102"/>
      <c r="C2" s="102"/>
      <c r="D2" s="102"/>
      <c r="E2" s="102"/>
      <c r="F2" s="102"/>
      <c r="G2" s="102"/>
      <c r="H2" s="102"/>
      <c r="I2" s="102"/>
      <c r="J2" s="102"/>
      <c r="K2" s="63"/>
    </row>
    <row r="4" spans="1:11" x14ac:dyDescent="0.25">
      <c r="B4" s="60" t="s">
        <v>202</v>
      </c>
      <c r="C4" s="64">
        <v>1000000</v>
      </c>
      <c r="D4" s="2"/>
      <c r="E4" s="62" t="s">
        <v>209</v>
      </c>
      <c r="F4" s="72">
        <f>SUMPRODUCT(F7:F16,H7:H16)</f>
        <v>0.8320373795560726</v>
      </c>
      <c r="G4" s="2"/>
      <c r="H4" s="2"/>
      <c r="I4" s="62" t="s">
        <v>212</v>
      </c>
      <c r="J4" s="72">
        <f>SUMPRODUCT(E7:E16,H7:H16)</f>
        <v>14.667654217537036</v>
      </c>
    </row>
    <row r="5" spans="1:11" x14ac:dyDescent="0.25">
      <c r="B5" s="62" t="s">
        <v>203</v>
      </c>
      <c r="C5" s="62" t="s">
        <v>205</v>
      </c>
      <c r="D5" s="2"/>
      <c r="E5" s="62" t="s">
        <v>210</v>
      </c>
      <c r="F5" s="72">
        <f>SUMPRODUCT(D7:D16,H7:H16)</f>
        <v>38.173199345697626</v>
      </c>
      <c r="G5" s="2" t="s">
        <v>225</v>
      </c>
      <c r="H5" s="2"/>
      <c r="I5" s="2"/>
      <c r="J5" s="2"/>
    </row>
    <row r="6" spans="1:11" x14ac:dyDescent="0.25">
      <c r="B6" s="60" t="s">
        <v>204</v>
      </c>
      <c r="C6" s="60" t="s">
        <v>206</v>
      </c>
      <c r="D6" s="60" t="s">
        <v>207</v>
      </c>
      <c r="E6" s="60" t="s">
        <v>208</v>
      </c>
      <c r="F6" s="60" t="s">
        <v>211</v>
      </c>
      <c r="G6" s="62" t="s">
        <v>228</v>
      </c>
      <c r="H6" s="62" t="s">
        <v>229</v>
      </c>
      <c r="I6" s="70" t="s">
        <v>230</v>
      </c>
      <c r="J6" s="62" t="s">
        <v>213</v>
      </c>
    </row>
    <row r="7" spans="1:11" x14ac:dyDescent="0.25">
      <c r="A7" s="2">
        <v>1</v>
      </c>
      <c r="B7" s="61" t="s">
        <v>214</v>
      </c>
      <c r="C7" s="65">
        <v>1107.3499999999999</v>
      </c>
      <c r="D7" s="61">
        <v>24.32</v>
      </c>
      <c r="E7" s="61">
        <v>4.1900000000000004</v>
      </c>
      <c r="F7" s="66">
        <v>1.19</v>
      </c>
      <c r="G7" s="61">
        <f>E7/D7</f>
        <v>0.17228618421052633</v>
      </c>
      <c r="H7" s="69">
        <f t="shared" ref="H7:H16" si="0">G7/$G$17</f>
        <v>6.3764929749641305E-2</v>
      </c>
      <c r="I7" s="73">
        <f>H7*$C$4</f>
        <v>63764.929749641306</v>
      </c>
      <c r="J7" s="61">
        <f>ROUND(I7/C7,0)</f>
        <v>58</v>
      </c>
    </row>
    <row r="8" spans="1:11" x14ac:dyDescent="0.25">
      <c r="A8" s="2">
        <v>2</v>
      </c>
      <c r="B8" s="61" t="s">
        <v>215</v>
      </c>
      <c r="C8" s="65">
        <v>6815.75</v>
      </c>
      <c r="D8" s="61">
        <v>84.03</v>
      </c>
      <c r="E8" s="61">
        <v>13.06</v>
      </c>
      <c r="F8" s="66">
        <v>1.02</v>
      </c>
      <c r="G8" s="61">
        <f t="shared" ref="G8:G16" si="1">E8/D8</f>
        <v>0.15542068308937285</v>
      </c>
      <c r="H8" s="69">
        <f t="shared" si="0"/>
        <v>5.7522830308465438E-2</v>
      </c>
      <c r="I8" s="73">
        <f t="shared" ref="I8:I16" si="2">H8*$C$4</f>
        <v>57522.83030846544</v>
      </c>
      <c r="J8" s="61">
        <f t="shared" ref="J8:J16" si="3">ROUND(I8/C8,0)</f>
        <v>8</v>
      </c>
    </row>
    <row r="9" spans="1:11" x14ac:dyDescent="0.25">
      <c r="A9" s="2">
        <v>3</v>
      </c>
      <c r="B9" s="61" t="s">
        <v>216</v>
      </c>
      <c r="C9" s="65">
        <v>2276.9</v>
      </c>
      <c r="D9" s="61">
        <v>47.77</v>
      </c>
      <c r="E9" s="61">
        <v>12.14</v>
      </c>
      <c r="F9" s="66">
        <v>0.73</v>
      </c>
      <c r="G9" s="61">
        <f t="shared" si="1"/>
        <v>0.25413439397111159</v>
      </c>
      <c r="H9" s="69">
        <f t="shared" si="0"/>
        <v>9.4057813473504948E-2</v>
      </c>
      <c r="I9" s="73">
        <f t="shared" si="2"/>
        <v>94057.813473504953</v>
      </c>
      <c r="J9" s="61">
        <f t="shared" si="3"/>
        <v>41</v>
      </c>
    </row>
    <row r="10" spans="1:11" x14ac:dyDescent="0.25">
      <c r="A10" s="2">
        <v>4</v>
      </c>
      <c r="B10" s="61" t="s">
        <v>217</v>
      </c>
      <c r="C10" s="65">
        <v>957.85</v>
      </c>
      <c r="D10" s="61">
        <v>10.44</v>
      </c>
      <c r="E10" s="61">
        <v>1.73</v>
      </c>
      <c r="F10" s="66">
        <v>1.51</v>
      </c>
      <c r="G10" s="61">
        <f t="shared" si="1"/>
        <v>0.16570881226053641</v>
      </c>
      <c r="H10" s="69">
        <f t="shared" si="0"/>
        <v>6.1330575177043233E-2</v>
      </c>
      <c r="I10" s="73">
        <f t="shared" si="2"/>
        <v>61330.575177043233</v>
      </c>
      <c r="J10" s="61">
        <f t="shared" si="3"/>
        <v>64</v>
      </c>
    </row>
    <row r="11" spans="1:11" x14ac:dyDescent="0.25">
      <c r="A11" s="2">
        <v>5</v>
      </c>
      <c r="B11" s="61" t="s">
        <v>218</v>
      </c>
      <c r="C11" s="65">
        <v>8451.7000000000007</v>
      </c>
      <c r="D11" s="61">
        <v>31.33</v>
      </c>
      <c r="E11" s="61">
        <v>7.64</v>
      </c>
      <c r="F11" s="66">
        <v>1.1100000000000001</v>
      </c>
      <c r="G11" s="61">
        <f t="shared" si="1"/>
        <v>0.24385572933290775</v>
      </c>
      <c r="H11" s="69">
        <f t="shared" si="0"/>
        <v>9.0253571528171136E-2</v>
      </c>
      <c r="I11" s="73">
        <f t="shared" si="2"/>
        <v>90253.571528171131</v>
      </c>
      <c r="J11" s="61">
        <f t="shared" si="3"/>
        <v>11</v>
      </c>
    </row>
    <row r="12" spans="1:11" x14ac:dyDescent="0.25">
      <c r="A12" s="2">
        <v>6</v>
      </c>
      <c r="B12" s="61" t="s">
        <v>219</v>
      </c>
      <c r="C12" s="65">
        <v>1645.2</v>
      </c>
      <c r="D12" s="61">
        <v>76.92</v>
      </c>
      <c r="E12" s="61">
        <v>10.97</v>
      </c>
      <c r="F12" s="66">
        <v>0.61</v>
      </c>
      <c r="G12" s="61">
        <f t="shared" si="1"/>
        <v>0.14261570462818512</v>
      </c>
      <c r="H12" s="69">
        <f t="shared" si="0"/>
        <v>5.2783573032759767E-2</v>
      </c>
      <c r="I12" s="73">
        <f t="shared" si="2"/>
        <v>52783.57303275977</v>
      </c>
      <c r="J12" s="61">
        <f t="shared" si="3"/>
        <v>32</v>
      </c>
    </row>
    <row r="13" spans="1:11" x14ac:dyDescent="0.25">
      <c r="A13" s="2">
        <v>7</v>
      </c>
      <c r="B13" s="61" t="s">
        <v>220</v>
      </c>
      <c r="C13" s="65">
        <v>5073.75</v>
      </c>
      <c r="D13" s="61">
        <v>56.65</v>
      </c>
      <c r="E13" s="61">
        <v>38.14</v>
      </c>
      <c r="F13" s="66">
        <v>0.63</v>
      </c>
      <c r="G13" s="61">
        <f t="shared" si="1"/>
        <v>0.6732568402471315</v>
      </c>
      <c r="H13" s="69">
        <f t="shared" si="0"/>
        <v>0.24917944127989386</v>
      </c>
      <c r="I13" s="73">
        <f t="shared" si="2"/>
        <v>249179.44127989386</v>
      </c>
      <c r="J13" s="61">
        <f t="shared" si="3"/>
        <v>49</v>
      </c>
    </row>
    <row r="14" spans="1:11" x14ac:dyDescent="0.25">
      <c r="A14" s="2">
        <v>8</v>
      </c>
      <c r="B14" s="61" t="s">
        <v>221</v>
      </c>
      <c r="C14" s="65">
        <v>1441.15</v>
      </c>
      <c r="D14" s="61">
        <v>26.18</v>
      </c>
      <c r="E14" s="61">
        <v>4.1100000000000003</v>
      </c>
      <c r="F14" s="66">
        <v>0.45</v>
      </c>
      <c r="G14" s="61">
        <f t="shared" si="1"/>
        <v>0.15699006875477464</v>
      </c>
      <c r="H14" s="69">
        <f t="shared" si="0"/>
        <v>5.8103676457928917E-2</v>
      </c>
      <c r="I14" s="73">
        <f t="shared" si="2"/>
        <v>58103.676457928916</v>
      </c>
      <c r="J14" s="61">
        <f t="shared" si="3"/>
        <v>40</v>
      </c>
    </row>
    <row r="15" spans="1:11" x14ac:dyDescent="0.25">
      <c r="A15" s="2">
        <v>9</v>
      </c>
      <c r="B15" s="61" t="s">
        <v>222</v>
      </c>
      <c r="C15" s="65">
        <v>385.9</v>
      </c>
      <c r="D15" s="61">
        <v>5.81</v>
      </c>
      <c r="E15" s="61">
        <v>2.48</v>
      </c>
      <c r="F15" s="66">
        <v>0.8</v>
      </c>
      <c r="G15" s="61">
        <f t="shared" si="1"/>
        <v>0.42685025817555938</v>
      </c>
      <c r="H15" s="69">
        <f t="shared" si="0"/>
        <v>0.15798177231043364</v>
      </c>
      <c r="I15" s="73">
        <f t="shared" si="2"/>
        <v>157981.77231043365</v>
      </c>
      <c r="J15" s="61">
        <f t="shared" si="3"/>
        <v>409</v>
      </c>
    </row>
    <row r="16" spans="1:11" x14ac:dyDescent="0.25">
      <c r="A16" s="2">
        <v>10</v>
      </c>
      <c r="B16" s="61" t="s">
        <v>223</v>
      </c>
      <c r="C16" s="65">
        <v>1885</v>
      </c>
      <c r="D16" s="61">
        <v>27.93</v>
      </c>
      <c r="E16" s="61">
        <v>8.68</v>
      </c>
      <c r="F16" s="66">
        <v>0.82</v>
      </c>
      <c r="G16" s="61">
        <f t="shared" si="1"/>
        <v>0.31077694235588971</v>
      </c>
      <c r="H16" s="69">
        <f t="shared" si="0"/>
        <v>0.11502181668215782</v>
      </c>
      <c r="I16" s="73">
        <f t="shared" si="2"/>
        <v>115021.81668215782</v>
      </c>
      <c r="J16" s="61">
        <f t="shared" si="3"/>
        <v>61</v>
      </c>
    </row>
    <row r="17" spans="2:10" x14ac:dyDescent="0.25">
      <c r="B17" s="67" t="s">
        <v>224</v>
      </c>
      <c r="C17" s="68"/>
      <c r="D17" s="68"/>
      <c r="E17" s="68"/>
      <c r="F17" s="68"/>
      <c r="G17" s="53">
        <f>SUM(G7:G16)</f>
        <v>2.7018956170259951</v>
      </c>
      <c r="H17" s="71">
        <f>SUM(H7:H16)</f>
        <v>1</v>
      </c>
      <c r="I17" s="74">
        <f>SUM(I7:I16)</f>
        <v>1000000.0000000001</v>
      </c>
      <c r="J17" s="68">
        <f>SUM(J7:J16)</f>
        <v>773</v>
      </c>
    </row>
    <row r="20" spans="2:10" x14ac:dyDescent="0.25">
      <c r="E20" t="s">
        <v>226</v>
      </c>
      <c r="F20" t="s">
        <v>227</v>
      </c>
    </row>
    <row r="29" spans="2:10" x14ac:dyDescent="0.25">
      <c r="C29" t="s">
        <v>231</v>
      </c>
    </row>
    <row r="32" spans="2:10" x14ac:dyDescent="0.25">
      <c r="B32" s="60" t="s">
        <v>202</v>
      </c>
      <c r="C32" s="64">
        <v>1000000</v>
      </c>
      <c r="D32" s="2"/>
      <c r="E32" s="62" t="s">
        <v>209</v>
      </c>
      <c r="F32" s="72">
        <f>SUMPRODUCT(F35:F44,H35:H44)</f>
        <v>6.151565816469777E-2</v>
      </c>
      <c r="G32" s="2"/>
      <c r="H32" s="2"/>
      <c r="I32" s="62" t="s">
        <v>212</v>
      </c>
      <c r="J32" s="72">
        <f>SUMPRODUCT(E35:E44,H35:H44)</f>
        <v>0.17707086920945819</v>
      </c>
    </row>
    <row r="33" spans="1:10" x14ac:dyDescent="0.25">
      <c r="B33" s="62" t="s">
        <v>203</v>
      </c>
      <c r="C33" s="62" t="s">
        <v>205</v>
      </c>
      <c r="D33" s="2"/>
      <c r="E33" s="62" t="s">
        <v>210</v>
      </c>
      <c r="F33" s="72">
        <f>SUMPRODUCT(D35:D44,H35:H44)</f>
        <v>0.73490970011922763</v>
      </c>
      <c r="G33" s="2" t="s">
        <v>225</v>
      </c>
      <c r="H33" s="2"/>
      <c r="I33" s="2"/>
      <c r="J33" s="2"/>
    </row>
    <row r="34" spans="1:10" x14ac:dyDescent="0.25">
      <c r="B34" s="60" t="s">
        <v>204</v>
      </c>
      <c r="C34" s="60" t="s">
        <v>206</v>
      </c>
      <c r="D34" s="60" t="s">
        <v>207</v>
      </c>
      <c r="E34" s="60" t="s">
        <v>208</v>
      </c>
      <c r="F34" s="60" t="s">
        <v>211</v>
      </c>
      <c r="G34" s="62" t="s">
        <v>228</v>
      </c>
      <c r="H34" s="62" t="s">
        <v>229</v>
      </c>
      <c r="I34" s="70" t="s">
        <v>230</v>
      </c>
      <c r="J34" s="62" t="s">
        <v>213</v>
      </c>
    </row>
    <row r="35" spans="1:10" x14ac:dyDescent="0.25">
      <c r="B35" s="61" t="s">
        <v>214</v>
      </c>
      <c r="C35" s="65">
        <v>1107.3499999999999</v>
      </c>
      <c r="D35" s="61">
        <v>24.32</v>
      </c>
      <c r="E35" s="61">
        <v>4.1900000000000004</v>
      </c>
      <c r="F35" s="66">
        <v>1.19</v>
      </c>
      <c r="G35" s="61">
        <f>1/(E35*D35)</f>
        <v>9.8134656450194688E-3</v>
      </c>
      <c r="H35" s="69">
        <f t="shared" ref="H35:H44" si="4">G35/$G$17</f>
        <v>3.6320669026515739E-3</v>
      </c>
      <c r="I35" s="73">
        <f>H35*$C$4</f>
        <v>3632.0669026515739</v>
      </c>
      <c r="J35" s="61">
        <f>ROUND(I35/C35,0)</f>
        <v>3</v>
      </c>
    </row>
    <row r="36" spans="1:10" x14ac:dyDescent="0.25">
      <c r="A36" s="47"/>
      <c r="B36" s="61" t="s">
        <v>215</v>
      </c>
      <c r="C36" s="65">
        <v>6815.75</v>
      </c>
      <c r="D36" s="61">
        <v>84.03</v>
      </c>
      <c r="E36" s="61">
        <v>13.06</v>
      </c>
      <c r="F36" s="66">
        <v>1.02</v>
      </c>
      <c r="G36" s="61">
        <f t="shared" ref="G36:G44" si="5">1/(E36*D36)</f>
        <v>9.1121835543675695E-4</v>
      </c>
      <c r="H36" s="69">
        <f t="shared" si="4"/>
        <v>3.3725150212862205E-4</v>
      </c>
      <c r="I36" s="73">
        <f t="shared" ref="I36:I44" si="6">H36*$C$4</f>
        <v>337.25150212862206</v>
      </c>
      <c r="J36" s="61">
        <f t="shared" ref="J36:J44" si="7">ROUND(I36/C36,0)</f>
        <v>0</v>
      </c>
    </row>
    <row r="37" spans="1:10" x14ac:dyDescent="0.25">
      <c r="B37" s="61" t="s">
        <v>216</v>
      </c>
      <c r="C37" s="65">
        <v>2276.9</v>
      </c>
      <c r="D37" s="61">
        <v>47.77</v>
      </c>
      <c r="E37" s="61">
        <v>12.14</v>
      </c>
      <c r="F37" s="66">
        <v>0.73</v>
      </c>
      <c r="G37" s="61">
        <f t="shared" si="5"/>
        <v>1.7243525832008743E-3</v>
      </c>
      <c r="H37" s="69">
        <f t="shared" si="4"/>
        <v>6.3820103646301753E-4</v>
      </c>
      <c r="I37" s="73">
        <f t="shared" si="6"/>
        <v>638.20103646301754</v>
      </c>
      <c r="J37" s="61">
        <f t="shared" si="7"/>
        <v>0</v>
      </c>
    </row>
    <row r="38" spans="1:10" x14ac:dyDescent="0.25">
      <c r="B38" s="61" t="s">
        <v>217</v>
      </c>
      <c r="C38" s="65">
        <v>957.85</v>
      </c>
      <c r="D38" s="61">
        <v>10.44</v>
      </c>
      <c r="E38" s="61">
        <v>1.73</v>
      </c>
      <c r="F38" s="66">
        <v>1.51</v>
      </c>
      <c r="G38" s="61">
        <f t="shared" si="5"/>
        <v>5.5367306712732267E-2</v>
      </c>
      <c r="H38" s="69">
        <f t="shared" si="4"/>
        <v>2.0492022846417598E-2</v>
      </c>
      <c r="I38" s="73">
        <f t="shared" si="6"/>
        <v>20492.022846417596</v>
      </c>
      <c r="J38" s="61">
        <f t="shared" si="7"/>
        <v>21</v>
      </c>
    </row>
    <row r="39" spans="1:10" x14ac:dyDescent="0.25">
      <c r="B39" s="61" t="s">
        <v>218</v>
      </c>
      <c r="C39" s="65">
        <v>8451.7000000000007</v>
      </c>
      <c r="D39" s="61">
        <v>31.33</v>
      </c>
      <c r="E39" s="61">
        <v>7.64</v>
      </c>
      <c r="F39" s="66">
        <v>1.1100000000000001</v>
      </c>
      <c r="G39" s="61">
        <f t="shared" si="5"/>
        <v>4.177786541845546E-3</v>
      </c>
      <c r="H39" s="69">
        <f t="shared" si="4"/>
        <v>1.5462427621256811E-3</v>
      </c>
      <c r="I39" s="73">
        <f t="shared" si="6"/>
        <v>1546.2427621256811</v>
      </c>
      <c r="J39" s="61">
        <f t="shared" si="7"/>
        <v>0</v>
      </c>
    </row>
    <row r="40" spans="1:10" x14ac:dyDescent="0.25">
      <c r="B40" s="61" t="s">
        <v>219</v>
      </c>
      <c r="C40" s="65">
        <v>1645.2</v>
      </c>
      <c r="D40" s="61">
        <v>76.92</v>
      </c>
      <c r="E40" s="61">
        <v>10.97</v>
      </c>
      <c r="F40" s="66">
        <v>0.61</v>
      </c>
      <c r="G40" s="61">
        <f t="shared" si="5"/>
        <v>1.1850975406381798E-3</v>
      </c>
      <c r="H40" s="69">
        <f t="shared" si="4"/>
        <v>4.3861707061156903E-4</v>
      </c>
      <c r="I40" s="73">
        <f t="shared" si="6"/>
        <v>438.61707061156903</v>
      </c>
      <c r="J40" s="61">
        <f t="shared" si="7"/>
        <v>0</v>
      </c>
    </row>
    <row r="41" spans="1:10" x14ac:dyDescent="0.25">
      <c r="B41" s="61" t="s">
        <v>220</v>
      </c>
      <c r="C41" s="65">
        <v>5073.75</v>
      </c>
      <c r="D41" s="61">
        <v>56.65</v>
      </c>
      <c r="E41" s="61">
        <v>38.14</v>
      </c>
      <c r="F41" s="66">
        <v>0.63</v>
      </c>
      <c r="G41" s="61">
        <f t="shared" si="5"/>
        <v>4.6282775726165184E-4</v>
      </c>
      <c r="H41" s="69">
        <f t="shared" si="4"/>
        <v>1.7129742331463242E-4</v>
      </c>
      <c r="I41" s="73">
        <f t="shared" si="6"/>
        <v>171.29742331463243</v>
      </c>
      <c r="J41" s="61">
        <f t="shared" si="7"/>
        <v>0</v>
      </c>
    </row>
    <row r="42" spans="1:10" x14ac:dyDescent="0.25">
      <c r="B42" s="61" t="s">
        <v>221</v>
      </c>
      <c r="C42" s="65">
        <v>1441.15</v>
      </c>
      <c r="D42" s="61">
        <v>26.18</v>
      </c>
      <c r="E42" s="61">
        <v>4.1100000000000003</v>
      </c>
      <c r="F42" s="66">
        <v>0.45</v>
      </c>
      <c r="G42" s="61">
        <f t="shared" si="5"/>
        <v>9.2936975719285723E-3</v>
      </c>
      <c r="H42" s="69">
        <f t="shared" si="4"/>
        <v>3.4396952692636747E-3</v>
      </c>
      <c r="I42" s="73">
        <f t="shared" si="6"/>
        <v>3439.6952692636746</v>
      </c>
      <c r="J42" s="61">
        <f t="shared" si="7"/>
        <v>2</v>
      </c>
    </row>
    <row r="43" spans="1:10" x14ac:dyDescent="0.25">
      <c r="B43" s="61" t="s">
        <v>222</v>
      </c>
      <c r="C43" s="65">
        <v>385.9</v>
      </c>
      <c r="D43" s="61">
        <v>5.81</v>
      </c>
      <c r="E43" s="61">
        <v>2.48</v>
      </c>
      <c r="F43" s="66">
        <v>0.8</v>
      </c>
      <c r="G43" s="61">
        <f t="shared" si="5"/>
        <v>6.9402032091499644E-2</v>
      </c>
      <c r="H43" s="69">
        <f t="shared" si="4"/>
        <v>2.5686422396987783E-2</v>
      </c>
      <c r="I43" s="73">
        <f t="shared" si="6"/>
        <v>25686.422396987782</v>
      </c>
      <c r="J43" s="61">
        <f t="shared" si="7"/>
        <v>67</v>
      </c>
    </row>
    <row r="44" spans="1:10" x14ac:dyDescent="0.25">
      <c r="B44" s="61" t="s">
        <v>223</v>
      </c>
      <c r="C44" s="65">
        <v>1885</v>
      </c>
      <c r="D44" s="61">
        <v>27.93</v>
      </c>
      <c r="E44" s="61">
        <v>8.68</v>
      </c>
      <c r="F44" s="66">
        <v>0.82</v>
      </c>
      <c r="G44" s="61">
        <f t="shared" si="5"/>
        <v>4.1248611984206728E-3</v>
      </c>
      <c r="H44" s="69">
        <f t="shared" si="4"/>
        <v>1.5266545355889622E-3</v>
      </c>
      <c r="I44" s="73">
        <f t="shared" si="6"/>
        <v>1526.6545355889623</v>
      </c>
      <c r="J44" s="61">
        <f t="shared" si="7"/>
        <v>1</v>
      </c>
    </row>
    <row r="45" spans="1:10" x14ac:dyDescent="0.25">
      <c r="B45" s="67" t="s">
        <v>224</v>
      </c>
      <c r="C45" s="68"/>
      <c r="D45" s="68"/>
      <c r="E45" s="68"/>
      <c r="F45" s="68"/>
      <c r="G45" s="53">
        <f>SUM(G35:G44)</f>
        <v>0.15646264599798365</v>
      </c>
      <c r="H45" s="71">
        <f>SUM(H35:H44)</f>
        <v>5.7908471745553115E-2</v>
      </c>
      <c r="I45" s="74">
        <f>SUM(I35:I44)</f>
        <v>57908.471745553114</v>
      </c>
      <c r="J45" s="68">
        <f>SUM(J35:J44)</f>
        <v>94</v>
      </c>
    </row>
  </sheetData>
  <mergeCells count="1">
    <mergeCell ref="B1: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F5516-5707-4822-8EEE-95786201ACBF}">
  <dimension ref="A1:Q160"/>
  <sheetViews>
    <sheetView showGridLines="0" tabSelected="1" zoomScale="115" zoomScaleNormal="100" workbookViewId="0">
      <selection activeCell="C3" sqref="C3"/>
    </sheetView>
  </sheetViews>
  <sheetFormatPr defaultRowHeight="15" x14ac:dyDescent="0.25"/>
  <cols>
    <col min="1" max="1" width="11.7109375" customWidth="1"/>
    <col min="2" max="2" width="26.140625" customWidth="1"/>
    <col min="3" max="3" width="18.7109375" customWidth="1"/>
    <col min="4" max="4" width="14.140625" customWidth="1"/>
    <col min="5" max="5" width="13.5703125" customWidth="1"/>
    <col min="6" max="6" width="14.140625" customWidth="1"/>
    <col min="7" max="7" width="17" customWidth="1"/>
    <col min="8" max="8" width="17.42578125" customWidth="1"/>
    <col min="9" max="10" width="14.28515625" customWidth="1"/>
    <col min="11" max="11" width="20.7109375" customWidth="1"/>
    <col min="12" max="12" width="14.42578125" customWidth="1"/>
    <col min="16" max="16" width="14.7109375" customWidth="1"/>
  </cols>
  <sheetData>
    <row r="1" spans="1:17" x14ac:dyDescent="0.25">
      <c r="A1" t="s">
        <v>239</v>
      </c>
      <c r="C1" s="104" t="s">
        <v>232</v>
      </c>
      <c r="D1" s="104"/>
      <c r="F1" s="104" t="s">
        <v>240</v>
      </c>
      <c r="G1" s="104"/>
    </row>
    <row r="2" spans="1:17" x14ac:dyDescent="0.25">
      <c r="A2" t="s">
        <v>240</v>
      </c>
      <c r="C2" s="49" t="s">
        <v>233</v>
      </c>
      <c r="D2" s="49">
        <v>-300000</v>
      </c>
      <c r="E2" t="s">
        <v>251</v>
      </c>
      <c r="F2" s="49" t="s">
        <v>252</v>
      </c>
      <c r="G2" s="49">
        <v>-5000</v>
      </c>
    </row>
    <row r="3" spans="1:17" x14ac:dyDescent="0.25">
      <c r="A3" t="s">
        <v>241</v>
      </c>
      <c r="C3" s="49" t="s">
        <v>234</v>
      </c>
      <c r="D3" s="51">
        <v>7.0000000000000007E-2</v>
      </c>
      <c r="F3" s="49" t="s">
        <v>234</v>
      </c>
      <c r="G3" s="51">
        <v>7.0000000000000007E-2</v>
      </c>
    </row>
    <row r="4" spans="1:17" x14ac:dyDescent="0.25">
      <c r="A4" t="s">
        <v>242</v>
      </c>
      <c r="C4" s="49" t="s">
        <v>235</v>
      </c>
      <c r="D4" s="49">
        <v>5</v>
      </c>
      <c r="F4" s="49" t="s">
        <v>253</v>
      </c>
      <c r="G4" s="49">
        <v>5</v>
      </c>
    </row>
    <row r="5" spans="1:17" x14ac:dyDescent="0.25">
      <c r="A5" t="s">
        <v>243</v>
      </c>
      <c r="C5" s="49" t="s">
        <v>236</v>
      </c>
      <c r="D5" s="75">
        <f>FV(D3,D4,0,D2)</f>
        <v>420765.51921000006</v>
      </c>
      <c r="E5" t="s">
        <v>256</v>
      </c>
      <c r="F5" s="49" t="s">
        <v>236</v>
      </c>
      <c r="G5" s="75">
        <f>FV(G3/12,G4*12,G2)</f>
        <v>357964.50824056263</v>
      </c>
      <c r="H5" s="78" t="s">
        <v>255</v>
      </c>
    </row>
    <row r="6" spans="1:17" x14ac:dyDescent="0.25">
      <c r="A6" t="s">
        <v>244</v>
      </c>
      <c r="D6" s="43">
        <f>FV(D3,D4,0,D2)</f>
        <v>420765.51921000006</v>
      </c>
    </row>
    <row r="7" spans="1:17" x14ac:dyDescent="0.25">
      <c r="A7" t="s">
        <v>250</v>
      </c>
    </row>
    <row r="8" spans="1:17" x14ac:dyDescent="0.25">
      <c r="A8" t="s">
        <v>245</v>
      </c>
      <c r="C8" s="103" t="s">
        <v>237</v>
      </c>
      <c r="D8" s="103"/>
      <c r="F8" s="103" t="s">
        <v>254</v>
      </c>
      <c r="G8" s="103"/>
      <c r="I8" s="103" t="s">
        <v>260</v>
      </c>
      <c r="J8" s="103"/>
      <c r="K8" t="s">
        <v>261</v>
      </c>
    </row>
    <row r="9" spans="1:17" x14ac:dyDescent="0.25">
      <c r="A9" t="s">
        <v>246</v>
      </c>
      <c r="C9" s="49" t="s">
        <v>238</v>
      </c>
      <c r="D9" s="49">
        <v>500000</v>
      </c>
      <c r="F9" s="49" t="s">
        <v>238</v>
      </c>
      <c r="G9" s="49">
        <v>500000</v>
      </c>
      <c r="I9" s="49" t="s">
        <v>260</v>
      </c>
      <c r="J9" s="49">
        <v>10000</v>
      </c>
    </row>
    <row r="10" spans="1:17" x14ac:dyDescent="0.25">
      <c r="A10" t="s">
        <v>247</v>
      </c>
      <c r="B10" t="s">
        <v>179</v>
      </c>
      <c r="C10" s="49" t="s">
        <v>234</v>
      </c>
      <c r="D10" s="51">
        <v>0.13</v>
      </c>
      <c r="F10" s="49" t="s">
        <v>234</v>
      </c>
      <c r="G10" s="51">
        <v>0.13</v>
      </c>
      <c r="I10" s="49" t="s">
        <v>234</v>
      </c>
      <c r="J10" s="51">
        <v>0.13</v>
      </c>
    </row>
    <row r="11" spans="1:17" x14ac:dyDescent="0.25">
      <c r="A11" t="s">
        <v>248</v>
      </c>
      <c r="C11" s="49" t="s">
        <v>235</v>
      </c>
      <c r="D11" s="49">
        <v>5</v>
      </c>
      <c r="F11" s="49" t="s">
        <v>235</v>
      </c>
      <c r="G11" s="77">
        <v>5</v>
      </c>
      <c r="I11" s="49" t="s">
        <v>235</v>
      </c>
      <c r="J11" s="49">
        <v>15</v>
      </c>
    </row>
    <row r="12" spans="1:17" x14ac:dyDescent="0.25">
      <c r="A12" t="s">
        <v>249</v>
      </c>
      <c r="C12" s="49" t="s">
        <v>233</v>
      </c>
      <c r="D12" s="76">
        <f>PV(D10,D11,0,D9)</f>
        <v>-271379.96799972432</v>
      </c>
      <c r="F12" s="49" t="s">
        <v>252</v>
      </c>
      <c r="G12" s="76">
        <f>PMT(G10/12,G11*12,0,G9)</f>
        <v>-5959.8698554453449</v>
      </c>
      <c r="H12" t="s">
        <v>258</v>
      </c>
      <c r="I12" s="49" t="s">
        <v>262</v>
      </c>
      <c r="J12" s="76">
        <f>PV(J10/12,J11*12,J9)</f>
        <v>-790362.52968916274</v>
      </c>
      <c r="N12">
        <v>480000</v>
      </c>
      <c r="O12" t="s">
        <v>263</v>
      </c>
      <c r="P12" s="43">
        <f>PMT(N13/12,N14*12,N12)</f>
        <v>-10317.07218149638</v>
      </c>
    </row>
    <row r="13" spans="1:17" x14ac:dyDescent="0.25">
      <c r="L13" s="43">
        <v>11020</v>
      </c>
      <c r="M13">
        <v>36</v>
      </c>
      <c r="N13" s="5">
        <v>0.105</v>
      </c>
      <c r="P13">
        <v>10317</v>
      </c>
      <c r="Q13">
        <v>60</v>
      </c>
    </row>
    <row r="14" spans="1:17" x14ac:dyDescent="0.25">
      <c r="L14" s="43">
        <f>L13*M13</f>
        <v>396720</v>
      </c>
      <c r="N14">
        <v>5</v>
      </c>
      <c r="P14">
        <f>P13*Q13</f>
        <v>619020</v>
      </c>
    </row>
    <row r="15" spans="1:17" x14ac:dyDescent="0.25">
      <c r="C15" s="104" t="s">
        <v>257</v>
      </c>
      <c r="D15" s="104"/>
      <c r="F15" s="104" t="s">
        <v>259</v>
      </c>
      <c r="G15" s="104"/>
      <c r="H15" t="s">
        <v>268</v>
      </c>
      <c r="I15" s="104" t="s">
        <v>263</v>
      </c>
      <c r="J15" s="104"/>
      <c r="L15" s="43">
        <f>L14-J16</f>
        <v>-343280</v>
      </c>
      <c r="P15">
        <f>P14-N12</f>
        <v>139020</v>
      </c>
    </row>
    <row r="16" spans="1:17" x14ac:dyDescent="0.25">
      <c r="C16" s="49" t="s">
        <v>252</v>
      </c>
      <c r="D16" s="49">
        <v>-10000</v>
      </c>
      <c r="F16" s="49" t="s">
        <v>252</v>
      </c>
      <c r="G16" s="49">
        <v>-5000</v>
      </c>
      <c r="I16" s="49" t="s">
        <v>270</v>
      </c>
      <c r="J16" s="49">
        <v>740000</v>
      </c>
    </row>
    <row r="17" spans="3:16" x14ac:dyDescent="0.25">
      <c r="C17" s="49" t="s">
        <v>234</v>
      </c>
      <c r="D17" s="51">
        <v>0.13</v>
      </c>
      <c r="F17" s="49" t="s">
        <v>264</v>
      </c>
      <c r="G17" s="49">
        <v>5</v>
      </c>
      <c r="I17" s="49" t="s">
        <v>234</v>
      </c>
      <c r="J17" s="51">
        <v>0.11</v>
      </c>
    </row>
    <row r="18" spans="3:16" x14ac:dyDescent="0.25">
      <c r="C18" s="49" t="s">
        <v>238</v>
      </c>
      <c r="D18" s="49">
        <v>780000</v>
      </c>
      <c r="F18" s="49" t="s">
        <v>238</v>
      </c>
      <c r="G18" s="49">
        <v>780000</v>
      </c>
      <c r="I18" s="49" t="s">
        <v>235</v>
      </c>
      <c r="J18" s="49">
        <v>5</v>
      </c>
    </row>
    <row r="19" spans="3:16" x14ac:dyDescent="0.25">
      <c r="C19" s="49" t="s">
        <v>264</v>
      </c>
      <c r="D19" s="53">
        <f>NPER(D17/12,D16,0,D18)/12</f>
        <v>4.7368531976949697</v>
      </c>
      <c r="E19" t="s">
        <v>267</v>
      </c>
      <c r="F19" s="49" t="s">
        <v>259</v>
      </c>
      <c r="G19" s="80">
        <f>RATE(G17*12,G16,0,G18)*12</f>
        <v>0.3455413084949891</v>
      </c>
      <c r="H19" s="78" t="s">
        <v>269</v>
      </c>
      <c r="I19" s="49" t="s">
        <v>263</v>
      </c>
      <c r="J19" s="75">
        <f>PMT(J17/12,J18*12,J16)</f>
        <v>-16089.393073756048</v>
      </c>
    </row>
    <row r="20" spans="3:16" x14ac:dyDescent="0.25">
      <c r="D20" s="79">
        <f>NPER(D17/12,D16,0,D18)/12</f>
        <v>4.7368531976949697</v>
      </c>
    </row>
    <row r="21" spans="3:16" x14ac:dyDescent="0.25">
      <c r="G21" t="s">
        <v>275</v>
      </c>
      <c r="H21" t="s">
        <v>274</v>
      </c>
      <c r="I21" t="s">
        <v>276</v>
      </c>
      <c r="L21">
        <v>40000</v>
      </c>
      <c r="M21">
        <v>12</v>
      </c>
      <c r="N21">
        <f>L21*M21</f>
        <v>480000</v>
      </c>
      <c r="O21">
        <v>500000</v>
      </c>
      <c r="P21">
        <f>O21/M21</f>
        <v>41666.666666666664</v>
      </c>
    </row>
    <row r="22" spans="3:16" x14ac:dyDescent="0.25">
      <c r="C22" s="103" t="s">
        <v>265</v>
      </c>
      <c r="D22" s="103"/>
      <c r="F22" s="82" t="s">
        <v>271</v>
      </c>
      <c r="G22" s="82" t="s">
        <v>263</v>
      </c>
      <c r="H22" s="82" t="s">
        <v>11</v>
      </c>
      <c r="I22" s="82" t="s">
        <v>272</v>
      </c>
      <c r="J22" s="82" t="s">
        <v>273</v>
      </c>
    </row>
    <row r="23" spans="3:16" x14ac:dyDescent="0.25">
      <c r="C23" s="49" t="s">
        <v>266</v>
      </c>
      <c r="D23" s="51">
        <v>0.06</v>
      </c>
      <c r="F23" s="49">
        <v>0</v>
      </c>
      <c r="G23" s="83">
        <f>PMT($J$17/12,$J$18*12,$J$16)</f>
        <v>-16089.393073756048</v>
      </c>
      <c r="H23" s="83">
        <f>IPMT($J$17/12,F24,$J$18*12,$J$16)</f>
        <v>-6783.333333333333</v>
      </c>
      <c r="I23" s="83">
        <f>PPMT($J$17/12,F24,$J$18*12,$J$16)</f>
        <v>-9306.0597404227137</v>
      </c>
      <c r="J23" s="49">
        <v>750000</v>
      </c>
    </row>
    <row r="24" spans="3:16" x14ac:dyDescent="0.25">
      <c r="C24" s="49"/>
      <c r="D24" s="49"/>
      <c r="F24" s="49">
        <v>1</v>
      </c>
      <c r="G24" s="83">
        <f>PMT($J$17/12,$J$18*12,$J$16)</f>
        <v>-16089.393073756048</v>
      </c>
      <c r="H24" s="83">
        <f>IPMT($J$17/12,F24,$J$18*12,$J$16)</f>
        <v>-6783.333333333333</v>
      </c>
      <c r="I24" s="83">
        <f>PPMT($J$17/12,F24,$J$18*12,$J$16)</f>
        <v>-9306.0597404227137</v>
      </c>
      <c r="J24" s="83">
        <f>J23+I24</f>
        <v>740693.94025957724</v>
      </c>
      <c r="K24" s="43"/>
    </row>
    <row r="25" spans="3:16" x14ac:dyDescent="0.25">
      <c r="C25" s="49"/>
      <c r="D25" s="49"/>
      <c r="F25" s="49">
        <v>2</v>
      </c>
      <c r="G25" s="83">
        <f t="shared" ref="G25:G83" si="0">PMT($J$17/12,$J$18*12,$J$16)</f>
        <v>-16089.393073756048</v>
      </c>
      <c r="H25" s="83">
        <f t="shared" ref="H25:H83" si="1">IPMT($J$17/12,F25,$J$18*12,$J$16)</f>
        <v>-6698.0277857127912</v>
      </c>
      <c r="I25" s="83">
        <f t="shared" ref="I25:I84" si="2">PPMT($J$17/12,F25,$J$18*12,$J$16)</f>
        <v>-9391.3652880432546</v>
      </c>
      <c r="J25" s="83">
        <f t="shared" ref="J25:J83" si="3">J24+I25</f>
        <v>731302.57497153396</v>
      </c>
      <c r="K25" s="43">
        <f>J24+I25</f>
        <v>731302.57497153396</v>
      </c>
    </row>
    <row r="26" spans="3:16" x14ac:dyDescent="0.25">
      <c r="C26" s="49"/>
      <c r="D26" s="81"/>
      <c r="F26" s="49">
        <v>3</v>
      </c>
      <c r="G26" s="83">
        <f t="shared" si="0"/>
        <v>-16089.393073756048</v>
      </c>
      <c r="H26" s="83">
        <f t="shared" si="1"/>
        <v>-6611.9402705723951</v>
      </c>
      <c r="I26" s="83">
        <f t="shared" si="2"/>
        <v>-9477.4528031836526</v>
      </c>
      <c r="J26" s="83">
        <f t="shared" si="3"/>
        <v>721825.12216835027</v>
      </c>
      <c r="K26" s="43"/>
    </row>
    <row r="27" spans="3:16" x14ac:dyDescent="0.25">
      <c r="F27" s="49">
        <v>4</v>
      </c>
      <c r="G27" s="83">
        <f t="shared" si="0"/>
        <v>-16089.393073756048</v>
      </c>
      <c r="H27" s="83">
        <f t="shared" si="1"/>
        <v>-6525.0636198765442</v>
      </c>
      <c r="I27" s="83">
        <f t="shared" si="2"/>
        <v>-9564.3294538795035</v>
      </c>
      <c r="J27" s="83">
        <f t="shared" si="3"/>
        <v>712260.79271447076</v>
      </c>
      <c r="K27" s="43"/>
    </row>
    <row r="28" spans="3:16" x14ac:dyDescent="0.25">
      <c r="F28" s="49">
        <v>5</v>
      </c>
      <c r="G28" s="83">
        <f t="shared" si="0"/>
        <v>-16089.393073756048</v>
      </c>
      <c r="H28" s="83">
        <f t="shared" si="1"/>
        <v>-6437.3905998826485</v>
      </c>
      <c r="I28" s="83">
        <f t="shared" si="2"/>
        <v>-9652.0024738733991</v>
      </c>
      <c r="J28" s="83">
        <f t="shared" si="3"/>
        <v>702608.79024059733</v>
      </c>
      <c r="K28" s="43"/>
    </row>
    <row r="29" spans="3:16" x14ac:dyDescent="0.25">
      <c r="F29" s="49">
        <v>6</v>
      </c>
      <c r="G29" s="83">
        <f t="shared" si="0"/>
        <v>-16089.393073756048</v>
      </c>
      <c r="H29" s="83">
        <f t="shared" si="1"/>
        <v>-6348.9139105388103</v>
      </c>
      <c r="I29" s="83">
        <f t="shared" si="2"/>
        <v>-9740.4791632172401</v>
      </c>
      <c r="J29" s="83">
        <f t="shared" si="3"/>
        <v>692868.31107738009</v>
      </c>
      <c r="K29" s="43"/>
      <c r="L29" s="43">
        <f>SUM(H24:H35)</f>
        <v>-75594.200224180167</v>
      </c>
    </row>
    <row r="30" spans="3:16" x14ac:dyDescent="0.25">
      <c r="F30" s="49">
        <v>7</v>
      </c>
      <c r="G30" s="83">
        <f t="shared" si="0"/>
        <v>-16089.393073756048</v>
      </c>
      <c r="H30" s="83">
        <f t="shared" si="1"/>
        <v>-6259.6261848759841</v>
      </c>
      <c r="I30" s="83">
        <f t="shared" si="2"/>
        <v>-9829.7668888800617</v>
      </c>
      <c r="J30" s="83">
        <f t="shared" si="3"/>
        <v>683038.54418850003</v>
      </c>
      <c r="K30" s="43"/>
      <c r="L30">
        <v>76323.23</v>
      </c>
    </row>
    <row r="31" spans="3:16" x14ac:dyDescent="0.25">
      <c r="F31" s="49">
        <v>8</v>
      </c>
      <c r="G31" s="83">
        <f t="shared" si="0"/>
        <v>-16089.393073756048</v>
      </c>
      <c r="H31" s="83">
        <f t="shared" si="1"/>
        <v>-6169.5199883945834</v>
      </c>
      <c r="I31" s="83">
        <f t="shared" si="2"/>
        <v>-9919.8730853614652</v>
      </c>
      <c r="J31" s="83">
        <f t="shared" si="3"/>
        <v>673118.67110313859</v>
      </c>
      <c r="K31" s="43"/>
      <c r="L31">
        <v>800000</v>
      </c>
      <c r="M31">
        <f>L31+L30</f>
        <v>876323.23</v>
      </c>
    </row>
    <row r="32" spans="3:16" x14ac:dyDescent="0.25">
      <c r="F32" s="49">
        <v>9</v>
      </c>
      <c r="G32" s="83">
        <f t="shared" si="0"/>
        <v>-16089.393073756048</v>
      </c>
      <c r="H32" s="83">
        <f t="shared" si="1"/>
        <v>-6078.5878184454368</v>
      </c>
      <c r="I32" s="83">
        <f t="shared" si="2"/>
        <v>-10010.80525531061</v>
      </c>
      <c r="J32" s="83">
        <f t="shared" si="3"/>
        <v>663107.86584782798</v>
      </c>
      <c r="K32" s="43"/>
    </row>
    <row r="33" spans="6:11" x14ac:dyDescent="0.25">
      <c r="F33" s="49">
        <v>10</v>
      </c>
      <c r="G33" s="83">
        <f t="shared" si="0"/>
        <v>-16089.393073756048</v>
      </c>
      <c r="H33" s="83">
        <f t="shared" si="1"/>
        <v>-5986.82210360509</v>
      </c>
      <c r="I33" s="83">
        <f t="shared" si="2"/>
        <v>-10102.570970150957</v>
      </c>
      <c r="J33" s="83">
        <f t="shared" si="3"/>
        <v>653005.29487767699</v>
      </c>
      <c r="K33" s="43"/>
    </row>
    <row r="34" spans="6:11" x14ac:dyDescent="0.25">
      <c r="F34" s="49">
        <v>11</v>
      </c>
      <c r="G34" s="83">
        <f t="shared" si="0"/>
        <v>-16089.393073756048</v>
      </c>
      <c r="H34" s="83">
        <f t="shared" si="1"/>
        <v>-5894.2152030453726</v>
      </c>
      <c r="I34" s="83">
        <f t="shared" si="2"/>
        <v>-10195.177870710675</v>
      </c>
      <c r="J34" s="83">
        <f t="shared" si="3"/>
        <v>642810.11700696626</v>
      </c>
      <c r="K34" s="43"/>
    </row>
    <row r="35" spans="6:11" x14ac:dyDescent="0.25">
      <c r="F35" s="49">
        <v>12</v>
      </c>
      <c r="G35" s="83">
        <f t="shared" si="0"/>
        <v>-16089.393073756048</v>
      </c>
      <c r="H35" s="83">
        <f t="shared" si="1"/>
        <v>-5800.7594058971927</v>
      </c>
      <c r="I35" s="83">
        <f t="shared" si="2"/>
        <v>-10288.633667858856</v>
      </c>
      <c r="J35" s="83">
        <f t="shared" si="3"/>
        <v>632521.48333910736</v>
      </c>
      <c r="K35" s="43"/>
    </row>
    <row r="36" spans="6:11" x14ac:dyDescent="0.25">
      <c r="F36" s="49">
        <v>13</v>
      </c>
      <c r="G36" s="83">
        <f t="shared" si="0"/>
        <v>-16089.393073756048</v>
      </c>
      <c r="H36" s="83">
        <f t="shared" si="1"/>
        <v>-5706.4469306084857</v>
      </c>
      <c r="I36" s="83">
        <f t="shared" si="2"/>
        <v>-10382.946143147561</v>
      </c>
      <c r="J36" s="83">
        <f t="shared" si="3"/>
        <v>622138.53719595983</v>
      </c>
      <c r="K36" s="43"/>
    </row>
    <row r="37" spans="6:11" x14ac:dyDescent="0.25">
      <c r="F37" s="49">
        <v>14</v>
      </c>
      <c r="G37" s="83">
        <f t="shared" si="0"/>
        <v>-16089.393073756048</v>
      </c>
      <c r="H37" s="83">
        <f t="shared" si="1"/>
        <v>-5611.2699242962999</v>
      </c>
      <c r="I37" s="83">
        <f t="shared" si="2"/>
        <v>-10478.123149459749</v>
      </c>
      <c r="J37" s="83">
        <f t="shared" si="3"/>
        <v>611660.41404650011</v>
      </c>
      <c r="K37" s="43"/>
    </row>
    <row r="38" spans="6:11" x14ac:dyDescent="0.25">
      <c r="F38" s="49">
        <v>15</v>
      </c>
      <c r="G38" s="83">
        <f t="shared" si="0"/>
        <v>-16089.393073756048</v>
      </c>
      <c r="H38" s="83">
        <f t="shared" si="1"/>
        <v>-5515.2204620929188</v>
      </c>
      <c r="I38" s="83">
        <f t="shared" si="2"/>
        <v>-10574.172611663127</v>
      </c>
      <c r="J38" s="83">
        <f t="shared" si="3"/>
        <v>601086.24143483699</v>
      </c>
      <c r="K38" s="43"/>
    </row>
    <row r="39" spans="6:11" x14ac:dyDescent="0.25">
      <c r="F39" s="49">
        <v>16</v>
      </c>
      <c r="G39" s="83">
        <f t="shared" si="0"/>
        <v>-16089.393073756048</v>
      </c>
      <c r="H39" s="83">
        <f t="shared" si="1"/>
        <v>-5418.290546486006</v>
      </c>
      <c r="I39" s="83">
        <f t="shared" si="2"/>
        <v>-10671.102527270043</v>
      </c>
      <c r="J39" s="83">
        <f t="shared" si="3"/>
        <v>590415.1389075669</v>
      </c>
      <c r="K39" s="43"/>
    </row>
    <row r="40" spans="6:11" x14ac:dyDescent="0.25">
      <c r="F40" s="49">
        <v>17</v>
      </c>
      <c r="G40" s="83">
        <f t="shared" si="0"/>
        <v>-16089.393073756048</v>
      </c>
      <c r="H40" s="83">
        <f t="shared" si="1"/>
        <v>-5320.472106652699</v>
      </c>
      <c r="I40" s="83">
        <f t="shared" si="2"/>
        <v>-10768.920967103351</v>
      </c>
      <c r="J40" s="83">
        <f t="shared" si="3"/>
        <v>579646.21794046357</v>
      </c>
      <c r="K40" s="43"/>
    </row>
    <row r="41" spans="6:11" x14ac:dyDescent="0.25">
      <c r="F41" s="49">
        <v>18</v>
      </c>
      <c r="G41" s="83">
        <f t="shared" si="0"/>
        <v>-16089.393073756048</v>
      </c>
      <c r="H41" s="83">
        <f t="shared" si="1"/>
        <v>-5221.7569977875837</v>
      </c>
      <c r="I41" s="83">
        <f t="shared" si="2"/>
        <v>-10867.636075968465</v>
      </c>
      <c r="J41" s="83">
        <f t="shared" si="3"/>
        <v>568778.58186449506</v>
      </c>
      <c r="K41" s="43"/>
    </row>
    <row r="42" spans="6:11" x14ac:dyDescent="0.25">
      <c r="F42" s="49">
        <v>19</v>
      </c>
      <c r="G42" s="83">
        <f t="shared" si="0"/>
        <v>-16089.393073756048</v>
      </c>
      <c r="H42" s="83">
        <f t="shared" si="1"/>
        <v>-5122.13700042454</v>
      </c>
      <c r="I42" s="83">
        <f t="shared" si="2"/>
        <v>-10967.256073331508</v>
      </c>
      <c r="J42" s="83">
        <f t="shared" si="3"/>
        <v>557811.3257911636</v>
      </c>
      <c r="K42" s="43"/>
    </row>
    <row r="43" spans="6:11" x14ac:dyDescent="0.25">
      <c r="F43" s="49">
        <v>20</v>
      </c>
      <c r="G43" s="83">
        <f t="shared" si="0"/>
        <v>-16089.393073756048</v>
      </c>
      <c r="H43" s="83">
        <f t="shared" si="1"/>
        <v>-5021.6038197523339</v>
      </c>
      <c r="I43" s="83">
        <f t="shared" si="2"/>
        <v>-11067.789254003716</v>
      </c>
      <c r="J43" s="83">
        <f t="shared" si="3"/>
        <v>546743.53653715993</v>
      </c>
      <c r="K43" s="43"/>
    </row>
    <row r="44" spans="6:11" x14ac:dyDescent="0.25">
      <c r="F44" s="49">
        <v>21</v>
      </c>
      <c r="G44" s="83">
        <f t="shared" si="0"/>
        <v>-16089.393073756048</v>
      </c>
      <c r="H44" s="83">
        <f t="shared" si="1"/>
        <v>-4920.1490849239672</v>
      </c>
      <c r="I44" s="83">
        <f t="shared" si="2"/>
        <v>-11169.243988832082</v>
      </c>
      <c r="J44" s="83">
        <f t="shared" si="3"/>
        <v>535574.29254832782</v>
      </c>
      <c r="K44" s="43"/>
    </row>
    <row r="45" spans="6:11" x14ac:dyDescent="0.25">
      <c r="F45" s="49">
        <v>22</v>
      </c>
      <c r="G45" s="83">
        <f t="shared" si="0"/>
        <v>-16089.393073756048</v>
      </c>
      <c r="H45" s="83">
        <f t="shared" si="1"/>
        <v>-4817.764348359673</v>
      </c>
      <c r="I45" s="83">
        <f t="shared" si="2"/>
        <v>-11271.628725396375</v>
      </c>
      <c r="J45" s="83">
        <f t="shared" si="3"/>
        <v>524302.66382293147</v>
      </c>
      <c r="K45" s="43"/>
    </row>
    <row r="46" spans="6:11" x14ac:dyDescent="0.25">
      <c r="F46" s="49">
        <v>23</v>
      </c>
      <c r="G46" s="83">
        <f t="shared" si="0"/>
        <v>-16089.393073756048</v>
      </c>
      <c r="H46" s="83">
        <f t="shared" si="1"/>
        <v>-4714.4410850435397</v>
      </c>
      <c r="I46" s="83">
        <f t="shared" si="2"/>
        <v>-11374.95198871251</v>
      </c>
      <c r="J46" s="83">
        <f t="shared" si="3"/>
        <v>512927.71183421894</v>
      </c>
      <c r="K46" s="43"/>
    </row>
    <row r="47" spans="6:11" x14ac:dyDescent="0.25">
      <c r="F47" s="49">
        <v>24</v>
      </c>
      <c r="G47" s="83">
        <f t="shared" si="0"/>
        <v>-16089.393073756048</v>
      </c>
      <c r="H47" s="83">
        <f t="shared" si="1"/>
        <v>-4610.1706918136742</v>
      </c>
      <c r="I47" s="83">
        <f t="shared" si="2"/>
        <v>-11479.222381942373</v>
      </c>
      <c r="J47" s="83">
        <f t="shared" si="3"/>
        <v>501448.48945227655</v>
      </c>
      <c r="K47" s="43"/>
    </row>
    <row r="48" spans="6:11" x14ac:dyDescent="0.25">
      <c r="F48" s="49">
        <v>25</v>
      </c>
      <c r="G48" s="83">
        <f t="shared" si="0"/>
        <v>-16089.393073756048</v>
      </c>
      <c r="H48" s="83">
        <f t="shared" si="1"/>
        <v>-4504.9444866458698</v>
      </c>
      <c r="I48" s="83">
        <f t="shared" si="2"/>
        <v>-11584.448587110179</v>
      </c>
      <c r="J48" s="83">
        <f t="shared" si="3"/>
        <v>489864.04086516635</v>
      </c>
      <c r="K48" s="43"/>
    </row>
    <row r="49" spans="6:12" x14ac:dyDescent="0.25">
      <c r="F49" s="49">
        <v>26</v>
      </c>
      <c r="G49" s="83">
        <f t="shared" si="0"/>
        <v>-16089.393073756048</v>
      </c>
      <c r="H49" s="83">
        <f t="shared" si="1"/>
        <v>-4398.7537079306921</v>
      </c>
      <c r="I49" s="83">
        <f t="shared" si="2"/>
        <v>-11690.639365825355</v>
      </c>
      <c r="J49" s="83">
        <f t="shared" si="3"/>
        <v>478173.40149934101</v>
      </c>
      <c r="K49" s="43"/>
    </row>
    <row r="50" spans="6:12" x14ac:dyDescent="0.25">
      <c r="F50" s="49">
        <v>27</v>
      </c>
      <c r="G50" s="83">
        <f t="shared" si="0"/>
        <v>-16089.393073756048</v>
      </c>
      <c r="H50" s="83">
        <f t="shared" si="1"/>
        <v>-4291.5895137439602</v>
      </c>
      <c r="I50" s="83">
        <f t="shared" si="2"/>
        <v>-11797.803560012086</v>
      </c>
      <c r="J50" s="83">
        <f t="shared" si="3"/>
        <v>466375.59793932893</v>
      </c>
      <c r="K50" s="43"/>
    </row>
    <row r="51" spans="6:12" x14ac:dyDescent="0.25">
      <c r="F51" s="49">
        <v>28</v>
      </c>
      <c r="G51" s="83">
        <f t="shared" si="0"/>
        <v>-16089.393073756048</v>
      </c>
      <c r="H51" s="83">
        <f t="shared" si="1"/>
        <v>-4183.4429811105174</v>
      </c>
      <c r="I51" s="83">
        <f t="shared" si="2"/>
        <v>-11905.950092645529</v>
      </c>
      <c r="J51" s="83">
        <f t="shared" si="3"/>
        <v>454469.64784668339</v>
      </c>
      <c r="K51" s="43"/>
    </row>
    <row r="52" spans="6:12" x14ac:dyDescent="0.25">
      <c r="F52" s="49">
        <v>29</v>
      </c>
      <c r="G52" s="83">
        <f t="shared" si="0"/>
        <v>-16089.393073756048</v>
      </c>
      <c r="H52" s="83">
        <f t="shared" si="1"/>
        <v>-4074.3051052612655</v>
      </c>
      <c r="I52" s="83">
        <f t="shared" si="2"/>
        <v>-12015.087968494781</v>
      </c>
      <c r="J52" s="83">
        <f t="shared" si="3"/>
        <v>442454.55987818859</v>
      </c>
      <c r="K52" s="43"/>
    </row>
    <row r="53" spans="6:12" x14ac:dyDescent="0.25">
      <c r="F53" s="49">
        <v>30</v>
      </c>
      <c r="G53" s="83">
        <f t="shared" si="0"/>
        <v>-16089.393073756048</v>
      </c>
      <c r="H53" s="83">
        <f t="shared" si="1"/>
        <v>-3964.166798883397</v>
      </c>
      <c r="I53" s="83">
        <f t="shared" si="2"/>
        <v>-12125.226274872652</v>
      </c>
      <c r="J53" s="83">
        <f t="shared" si="3"/>
        <v>430329.33360331593</v>
      </c>
      <c r="K53" s="43"/>
    </row>
    <row r="54" spans="6:12" x14ac:dyDescent="0.25">
      <c r="F54" s="49">
        <v>31</v>
      </c>
      <c r="G54" s="83">
        <f t="shared" si="0"/>
        <v>-16089.393073756048</v>
      </c>
      <c r="H54" s="83">
        <f t="shared" si="1"/>
        <v>-3853.0188913637317</v>
      </c>
      <c r="I54" s="83">
        <f t="shared" si="2"/>
        <v>-12236.374182392317</v>
      </c>
      <c r="J54" s="83">
        <f t="shared" si="3"/>
        <v>418092.95942092361</v>
      </c>
      <c r="K54" s="43"/>
    </row>
    <row r="55" spans="6:12" x14ac:dyDescent="0.25">
      <c r="F55" s="49">
        <v>32</v>
      </c>
      <c r="G55" s="83">
        <f t="shared" si="0"/>
        <v>-16089.393073756048</v>
      </c>
      <c r="H55" s="83">
        <f t="shared" si="1"/>
        <v>-3740.8521280251352</v>
      </c>
      <c r="I55" s="83">
        <f t="shared" si="2"/>
        <v>-12348.540945730912</v>
      </c>
      <c r="J55" s="83">
        <f t="shared" si="3"/>
        <v>405744.41847519268</v>
      </c>
      <c r="K55" s="43"/>
    </row>
    <row r="56" spans="6:12" x14ac:dyDescent="0.25">
      <c r="F56" s="49">
        <v>33</v>
      </c>
      <c r="G56" s="83">
        <f t="shared" si="0"/>
        <v>-16089.393073756048</v>
      </c>
      <c r="H56" s="83">
        <f t="shared" si="1"/>
        <v>-3627.6571693559345</v>
      </c>
      <c r="I56" s="83">
        <f t="shared" si="2"/>
        <v>-12461.735904400111</v>
      </c>
      <c r="J56" s="83">
        <f t="shared" si="3"/>
        <v>393282.68257079256</v>
      </c>
      <c r="K56" s="43"/>
    </row>
    <row r="57" spans="6:12" x14ac:dyDescent="0.25">
      <c r="F57" s="49">
        <v>34</v>
      </c>
      <c r="G57" s="83">
        <f t="shared" si="0"/>
        <v>-16089.393073756048</v>
      </c>
      <c r="H57" s="83">
        <f t="shared" si="1"/>
        <v>-3513.4245902322668</v>
      </c>
      <c r="I57" s="83">
        <f t="shared" si="2"/>
        <v>-12575.96848352378</v>
      </c>
      <c r="J57" s="83">
        <f t="shared" si="3"/>
        <v>380706.7140872688</v>
      </c>
      <c r="K57" s="43"/>
    </row>
    <row r="58" spans="6:12" x14ac:dyDescent="0.25">
      <c r="F58" s="49">
        <v>35</v>
      </c>
      <c r="G58" s="83">
        <f t="shared" si="0"/>
        <v>-16089.393073756048</v>
      </c>
      <c r="H58" s="83">
        <f t="shared" si="1"/>
        <v>-3398.1448791332991</v>
      </c>
      <c r="I58" s="83">
        <f t="shared" si="2"/>
        <v>-12691.248194622749</v>
      </c>
      <c r="J58" s="83">
        <f t="shared" si="3"/>
        <v>368015.46589264605</v>
      </c>
      <c r="K58" s="43">
        <v>740000</v>
      </c>
    </row>
    <row r="59" spans="6:12" x14ac:dyDescent="0.25">
      <c r="F59" s="49">
        <v>36</v>
      </c>
      <c r="G59" s="83">
        <f t="shared" si="0"/>
        <v>-16089.393073756048</v>
      </c>
      <c r="H59" s="83">
        <f t="shared" si="1"/>
        <v>-3281.808437349257</v>
      </c>
      <c r="I59" s="83">
        <f t="shared" si="2"/>
        <v>-12807.584636406791</v>
      </c>
      <c r="J59" s="83">
        <f t="shared" si="3"/>
        <v>355207.88125623926</v>
      </c>
      <c r="K59" s="43">
        <f>SUM(H23:H59)</f>
        <v>-191209.36524479048</v>
      </c>
      <c r="L59" s="43">
        <v>138942.76</v>
      </c>
    </row>
    <row r="60" spans="6:12" x14ac:dyDescent="0.25">
      <c r="F60" s="49">
        <v>37</v>
      </c>
      <c r="G60" s="83">
        <f t="shared" si="0"/>
        <v>-16089.393073756048</v>
      </c>
      <c r="H60" s="83">
        <f t="shared" si="1"/>
        <v>-3164.4055781821953</v>
      </c>
      <c r="I60" s="83">
        <f t="shared" si="2"/>
        <v>-12924.987495573852</v>
      </c>
      <c r="J60" s="83">
        <f t="shared" si="3"/>
        <v>342282.89376066538</v>
      </c>
      <c r="K60" s="43"/>
      <c r="L60" s="43">
        <f>L59+K58</f>
        <v>878942.76</v>
      </c>
    </row>
    <row r="61" spans="6:12" x14ac:dyDescent="0.25">
      <c r="F61" s="49">
        <v>38</v>
      </c>
      <c r="G61" s="83">
        <f t="shared" si="0"/>
        <v>-16089.393073756048</v>
      </c>
      <c r="H61" s="83">
        <f t="shared" si="1"/>
        <v>-3045.9265261394344</v>
      </c>
      <c r="I61" s="83">
        <f t="shared" si="2"/>
        <v>-13043.466547616614</v>
      </c>
      <c r="J61" s="83">
        <f t="shared" si="3"/>
        <v>329239.42721304874</v>
      </c>
      <c r="K61" s="43"/>
    </row>
    <row r="62" spans="6:12" x14ac:dyDescent="0.25">
      <c r="F62" s="49">
        <v>39</v>
      </c>
      <c r="G62" s="83">
        <f t="shared" si="0"/>
        <v>-16089.393073756048</v>
      </c>
      <c r="H62" s="83">
        <f t="shared" si="1"/>
        <v>-2926.3614161196156</v>
      </c>
      <c r="I62" s="83">
        <f t="shared" si="2"/>
        <v>-13163.031657636431</v>
      </c>
      <c r="J62" s="83">
        <f t="shared" si="3"/>
        <v>316076.39555541228</v>
      </c>
      <c r="K62" s="43">
        <v>191209.37</v>
      </c>
    </row>
    <row r="63" spans="6:12" x14ac:dyDescent="0.25">
      <c r="F63" s="49">
        <v>40</v>
      </c>
      <c r="G63" s="83">
        <f t="shared" si="0"/>
        <v>-16089.393073756048</v>
      </c>
      <c r="H63" s="83">
        <f t="shared" si="1"/>
        <v>-2805.7002925912821</v>
      </c>
      <c r="I63" s="83">
        <f t="shared" si="2"/>
        <v>-13283.692781164767</v>
      </c>
      <c r="J63" s="83">
        <f t="shared" si="3"/>
        <v>302792.7027742475</v>
      </c>
      <c r="K63" s="43">
        <f>K62+K58</f>
        <v>931209.37</v>
      </c>
    </row>
    <row r="64" spans="6:12" x14ac:dyDescent="0.25">
      <c r="F64" s="49">
        <v>41</v>
      </c>
      <c r="G64" s="83">
        <f t="shared" si="0"/>
        <v>-16089.393073756048</v>
      </c>
      <c r="H64" s="83">
        <f t="shared" si="1"/>
        <v>-2683.9331087639389</v>
      </c>
      <c r="I64" s="83">
        <f t="shared" si="2"/>
        <v>-13405.459964992111</v>
      </c>
      <c r="J64" s="83">
        <f t="shared" si="3"/>
        <v>289387.24280925537</v>
      </c>
      <c r="K64" s="43"/>
    </row>
    <row r="65" spans="6:11" x14ac:dyDescent="0.25">
      <c r="F65" s="49">
        <v>42</v>
      </c>
      <c r="G65" s="83">
        <f t="shared" si="0"/>
        <v>-16089.393073756048</v>
      </c>
      <c r="H65" s="83">
        <f t="shared" si="1"/>
        <v>-2561.0497257515103</v>
      </c>
      <c r="I65" s="83">
        <f t="shared" si="2"/>
        <v>-13528.343348004535</v>
      </c>
      <c r="J65" s="83">
        <f t="shared" si="3"/>
        <v>275858.89946125087</v>
      </c>
      <c r="K65" s="43"/>
    </row>
    <row r="66" spans="6:11" x14ac:dyDescent="0.25">
      <c r="F66" s="49">
        <v>43</v>
      </c>
      <c r="G66" s="83">
        <f t="shared" si="0"/>
        <v>-16089.393073756048</v>
      </c>
      <c r="H66" s="83">
        <f t="shared" si="1"/>
        <v>-2437.0399117281358</v>
      </c>
      <c r="I66" s="83">
        <f t="shared" si="2"/>
        <v>-13652.353162027912</v>
      </c>
      <c r="J66" s="83">
        <f t="shared" si="3"/>
        <v>262206.54629922297</v>
      </c>
      <c r="K66" s="43"/>
    </row>
    <row r="67" spans="6:11" x14ac:dyDescent="0.25">
      <c r="F67" s="49">
        <v>44</v>
      </c>
      <c r="G67" s="83">
        <f t="shared" si="0"/>
        <v>-16089.393073756048</v>
      </c>
      <c r="H67" s="83">
        <f t="shared" si="1"/>
        <v>-2311.8933410762133</v>
      </c>
      <c r="I67" s="83">
        <f t="shared" si="2"/>
        <v>-13777.499732679837</v>
      </c>
      <c r="J67" s="83">
        <f t="shared" si="3"/>
        <v>248429.04656654314</v>
      </c>
      <c r="K67" s="43"/>
    </row>
    <row r="68" spans="6:11" x14ac:dyDescent="0.25">
      <c r="F68" s="49">
        <v>45</v>
      </c>
      <c r="G68" s="83">
        <f t="shared" si="0"/>
        <v>-16089.393073756048</v>
      </c>
      <c r="H68" s="83">
        <f t="shared" si="1"/>
        <v>-2185.5995935266478</v>
      </c>
      <c r="I68" s="83">
        <f t="shared" si="2"/>
        <v>-13903.7934802294</v>
      </c>
      <c r="J68" s="83">
        <f t="shared" si="3"/>
        <v>234525.25308631375</v>
      </c>
      <c r="K68" s="43"/>
    </row>
    <row r="69" spans="6:11" x14ac:dyDescent="0.25">
      <c r="F69" s="49">
        <v>46</v>
      </c>
      <c r="G69" s="83">
        <f t="shared" si="0"/>
        <v>-16089.393073756048</v>
      </c>
      <c r="H69" s="83">
        <f t="shared" si="1"/>
        <v>-2058.1481532912117</v>
      </c>
      <c r="I69" s="83">
        <f t="shared" si="2"/>
        <v>-14031.244920464835</v>
      </c>
      <c r="J69" s="83">
        <f t="shared" si="3"/>
        <v>220494.00816584891</v>
      </c>
      <c r="K69" s="43"/>
    </row>
    <row r="70" spans="6:11" x14ac:dyDescent="0.25">
      <c r="F70" s="49">
        <v>47</v>
      </c>
      <c r="G70" s="83">
        <f t="shared" si="0"/>
        <v>-16089.393073756048</v>
      </c>
      <c r="H70" s="83">
        <f t="shared" si="1"/>
        <v>-1929.5284081869506</v>
      </c>
      <c r="I70" s="83">
        <f t="shared" si="2"/>
        <v>-14159.864665569097</v>
      </c>
      <c r="J70" s="83">
        <f t="shared" si="3"/>
        <v>206334.14350027981</v>
      </c>
      <c r="K70" s="43"/>
    </row>
    <row r="71" spans="6:11" x14ac:dyDescent="0.25">
      <c r="F71" s="49">
        <v>48</v>
      </c>
      <c r="G71" s="83">
        <f t="shared" si="0"/>
        <v>-16089.393073756048</v>
      </c>
      <c r="H71" s="83">
        <f t="shared" si="1"/>
        <v>-1799.7296487525675</v>
      </c>
      <c r="I71" s="83">
        <f t="shared" si="2"/>
        <v>-14289.66342500348</v>
      </c>
      <c r="J71" s="83">
        <f t="shared" si="3"/>
        <v>192044.48007527634</v>
      </c>
      <c r="K71" s="43"/>
    </row>
    <row r="72" spans="6:11" x14ac:dyDescent="0.25">
      <c r="F72" s="49">
        <v>49</v>
      </c>
      <c r="G72" s="83">
        <f t="shared" si="0"/>
        <v>-16089.393073756048</v>
      </c>
      <c r="H72" s="83">
        <f t="shared" si="1"/>
        <v>-1668.7410673567024</v>
      </c>
      <c r="I72" s="83">
        <f t="shared" si="2"/>
        <v>-14420.652006399345</v>
      </c>
      <c r="J72" s="83">
        <f t="shared" si="3"/>
        <v>177623.82806887699</v>
      </c>
      <c r="K72" s="43"/>
    </row>
    <row r="73" spans="6:11" x14ac:dyDescent="0.25">
      <c r="F73" s="49">
        <v>50</v>
      </c>
      <c r="G73" s="83">
        <f t="shared" si="0"/>
        <v>-16089.393073756048</v>
      </c>
      <c r="H73" s="83">
        <f t="shared" si="1"/>
        <v>-1536.5517572980414</v>
      </c>
      <c r="I73" s="83">
        <f t="shared" si="2"/>
        <v>-14552.841316458007</v>
      </c>
      <c r="J73" s="83">
        <f t="shared" si="3"/>
        <v>163070.98675241898</v>
      </c>
      <c r="K73" s="43"/>
    </row>
    <row r="74" spans="6:11" x14ac:dyDescent="0.25">
      <c r="F74" s="49">
        <v>51</v>
      </c>
      <c r="G74" s="83">
        <f t="shared" si="0"/>
        <v>-16089.393073756048</v>
      </c>
      <c r="H74" s="83">
        <f t="shared" si="1"/>
        <v>-1403.1507118971765</v>
      </c>
      <c r="I74" s="83">
        <f t="shared" si="2"/>
        <v>-14686.242361858871</v>
      </c>
      <c r="J74" s="83">
        <f t="shared" si="3"/>
        <v>148384.74439056011</v>
      </c>
      <c r="K74" s="43"/>
    </row>
    <row r="75" spans="6:11" x14ac:dyDescent="0.25">
      <c r="F75" s="49">
        <v>52</v>
      </c>
      <c r="G75" s="83">
        <f t="shared" si="0"/>
        <v>-16089.393073756048</v>
      </c>
      <c r="H75" s="83">
        <f t="shared" si="1"/>
        <v>-1268.526823580137</v>
      </c>
      <c r="I75" s="83">
        <f t="shared" si="2"/>
        <v>-14820.866250175912</v>
      </c>
      <c r="J75" s="83">
        <f t="shared" si="3"/>
        <v>133563.87814038419</v>
      </c>
      <c r="K75" s="43"/>
    </row>
    <row r="76" spans="6:11" x14ac:dyDescent="0.25">
      <c r="F76" s="49">
        <v>53</v>
      </c>
      <c r="G76" s="83">
        <f t="shared" si="0"/>
        <v>-16089.393073756048</v>
      </c>
      <c r="H76" s="83">
        <f t="shared" si="1"/>
        <v>-1132.6688829535242</v>
      </c>
      <c r="I76" s="83">
        <f t="shared" si="2"/>
        <v>-14956.724190802523</v>
      </c>
      <c r="J76" s="83">
        <f t="shared" si="3"/>
        <v>118607.15394958167</v>
      </c>
      <c r="K76" s="43"/>
    </row>
    <row r="77" spans="6:11" x14ac:dyDescent="0.25">
      <c r="F77" s="49">
        <v>54</v>
      </c>
      <c r="G77" s="83">
        <f t="shared" si="0"/>
        <v>-16089.393073756048</v>
      </c>
      <c r="H77" s="83">
        <f t="shared" si="1"/>
        <v>-995.56557787116787</v>
      </c>
      <c r="I77" s="83">
        <f t="shared" si="2"/>
        <v>-15093.82749588488</v>
      </c>
      <c r="J77" s="83">
        <f t="shared" si="3"/>
        <v>103513.32645369679</v>
      </c>
      <c r="K77" s="43"/>
    </row>
    <row r="78" spans="6:11" x14ac:dyDescent="0.25">
      <c r="F78" s="49">
        <v>55</v>
      </c>
      <c r="G78" s="83">
        <f t="shared" si="0"/>
        <v>-16089.393073756048</v>
      </c>
      <c r="H78" s="83">
        <f t="shared" si="1"/>
        <v>-857.20549249222313</v>
      </c>
      <c r="I78" s="83">
        <f t="shared" si="2"/>
        <v>-15232.187581263825</v>
      </c>
      <c r="J78" s="83">
        <f t="shared" si="3"/>
        <v>88281.138872432959</v>
      </c>
      <c r="K78" s="43"/>
    </row>
    <row r="79" spans="6:11" x14ac:dyDescent="0.25">
      <c r="F79" s="49">
        <v>56</v>
      </c>
      <c r="G79" s="83">
        <f t="shared" si="0"/>
        <v>-16089.393073756048</v>
      </c>
      <c r="H79" s="83">
        <f t="shared" si="1"/>
        <v>-717.57710633063812</v>
      </c>
      <c r="I79" s="83">
        <f t="shared" si="2"/>
        <v>-15371.815967425409</v>
      </c>
      <c r="J79" s="83">
        <f t="shared" si="3"/>
        <v>72909.322905007546</v>
      </c>
      <c r="K79" s="43"/>
    </row>
    <row r="80" spans="6:11" x14ac:dyDescent="0.25">
      <c r="F80" s="49">
        <v>57</v>
      </c>
      <c r="G80" s="83">
        <f t="shared" si="0"/>
        <v>-16089.393073756048</v>
      </c>
      <c r="H80" s="83">
        <f t="shared" si="1"/>
        <v>-576.66879329590506</v>
      </c>
      <c r="I80" s="83">
        <f t="shared" si="2"/>
        <v>-15512.724280460141</v>
      </c>
      <c r="J80" s="83">
        <f t="shared" si="3"/>
        <v>57396.598624547405</v>
      </c>
      <c r="K80" s="43"/>
    </row>
    <row r="81" spans="6:11" x14ac:dyDescent="0.25">
      <c r="F81" s="49">
        <v>58</v>
      </c>
      <c r="G81" s="83">
        <f t="shared" si="0"/>
        <v>-16089.393073756048</v>
      </c>
      <c r="H81" s="83">
        <f t="shared" si="1"/>
        <v>-434.46882072502058</v>
      </c>
      <c r="I81" s="83">
        <f t="shared" si="2"/>
        <v>-15654.924253031028</v>
      </c>
      <c r="J81" s="83">
        <f t="shared" si="3"/>
        <v>41741.674371516376</v>
      </c>
      <c r="K81" s="43"/>
    </row>
    <row r="82" spans="6:11" x14ac:dyDescent="0.25">
      <c r="F82" s="49">
        <v>59</v>
      </c>
      <c r="G82" s="83">
        <f t="shared" si="0"/>
        <v>-16089.393073756048</v>
      </c>
      <c r="H82" s="83">
        <f t="shared" si="1"/>
        <v>-290.96534840556944</v>
      </c>
      <c r="I82" s="83">
        <f t="shared" si="2"/>
        <v>-15798.427725350477</v>
      </c>
      <c r="J82" s="83">
        <f t="shared" si="3"/>
        <v>25943.246646165899</v>
      </c>
      <c r="K82" s="43"/>
    </row>
    <row r="83" spans="6:11" x14ac:dyDescent="0.25">
      <c r="F83" s="49">
        <v>60</v>
      </c>
      <c r="G83" s="83">
        <f t="shared" si="0"/>
        <v>-16089.393073756048</v>
      </c>
      <c r="H83" s="83">
        <f t="shared" si="1"/>
        <v>-146.14642758985673</v>
      </c>
      <c r="I83" s="83">
        <f t="shared" si="2"/>
        <v>-15943.24664616619</v>
      </c>
      <c r="J83" s="83">
        <f t="shared" si="3"/>
        <v>9999.999999999709</v>
      </c>
      <c r="K83" s="43"/>
    </row>
    <row r="84" spans="6:11" x14ac:dyDescent="0.25">
      <c r="F84" s="113"/>
      <c r="H84" s="43">
        <f>SUM(H24:H83)</f>
        <v>-225363.58442536279</v>
      </c>
      <c r="I84" s="114"/>
    </row>
    <row r="85" spans="6:11" x14ac:dyDescent="0.25">
      <c r="I85" s="114"/>
    </row>
    <row r="87" spans="6:11" x14ac:dyDescent="0.25">
      <c r="I87" s="43"/>
    </row>
    <row r="103" spans="1:10" x14ac:dyDescent="0.25">
      <c r="D103" t="s">
        <v>282</v>
      </c>
    </row>
    <row r="104" spans="1:10" x14ac:dyDescent="0.25">
      <c r="A104" t="s">
        <v>281</v>
      </c>
      <c r="B104" s="105" t="s">
        <v>265</v>
      </c>
      <c r="C104" s="106"/>
      <c r="D104" s="107"/>
      <c r="G104" s="105" t="s">
        <v>284</v>
      </c>
      <c r="H104" s="106"/>
      <c r="I104" s="107"/>
      <c r="J104" t="s">
        <v>286</v>
      </c>
    </row>
    <row r="105" spans="1:10" x14ac:dyDescent="0.25">
      <c r="A105" t="s">
        <v>280</v>
      </c>
      <c r="B105" s="70" t="s">
        <v>266</v>
      </c>
      <c r="C105" s="51">
        <v>0.06</v>
      </c>
      <c r="D105" s="49"/>
      <c r="G105" s="70" t="s">
        <v>266</v>
      </c>
      <c r="H105" s="51">
        <v>0.06</v>
      </c>
      <c r="I105" s="49"/>
    </row>
    <row r="106" spans="1:10" x14ac:dyDescent="0.25">
      <c r="B106" s="84" t="s">
        <v>235</v>
      </c>
      <c r="C106" s="84" t="s">
        <v>277</v>
      </c>
      <c r="D106" s="84" t="s">
        <v>278</v>
      </c>
      <c r="G106" s="84" t="s">
        <v>285</v>
      </c>
      <c r="H106" s="84" t="s">
        <v>277</v>
      </c>
      <c r="I106" s="84" t="s">
        <v>278</v>
      </c>
    </row>
    <row r="107" spans="1:10" x14ac:dyDescent="0.25">
      <c r="B107" s="49">
        <v>1</v>
      </c>
      <c r="C107" s="49">
        <v>-100000</v>
      </c>
      <c r="D107" s="49">
        <v>-100000</v>
      </c>
      <c r="G107" s="85">
        <v>45238</v>
      </c>
      <c r="H107" s="49">
        <v>-100000</v>
      </c>
      <c r="I107" s="49">
        <v>-100000</v>
      </c>
    </row>
    <row r="108" spans="1:10" x14ac:dyDescent="0.25">
      <c r="B108" s="49">
        <v>2</v>
      </c>
      <c r="C108" s="49">
        <v>20000</v>
      </c>
      <c r="D108" s="49">
        <v>18000</v>
      </c>
      <c r="G108" s="85">
        <v>45291</v>
      </c>
      <c r="H108" s="49">
        <v>20000</v>
      </c>
      <c r="I108" s="49">
        <v>18000</v>
      </c>
    </row>
    <row r="109" spans="1:10" x14ac:dyDescent="0.25">
      <c r="B109" s="49">
        <v>3</v>
      </c>
      <c r="C109" s="49">
        <v>0</v>
      </c>
      <c r="D109" s="49">
        <v>18000</v>
      </c>
      <c r="G109" s="85">
        <v>45381</v>
      </c>
      <c r="H109" s="49">
        <v>0</v>
      </c>
      <c r="I109" s="49">
        <v>18000</v>
      </c>
    </row>
    <row r="110" spans="1:10" x14ac:dyDescent="0.25">
      <c r="B110" s="49">
        <v>4</v>
      </c>
      <c r="C110" s="49">
        <v>30000</v>
      </c>
      <c r="D110" s="49">
        <v>18000</v>
      </c>
      <c r="G110" s="85">
        <v>45612</v>
      </c>
      <c r="H110" s="49">
        <v>30000</v>
      </c>
      <c r="I110" s="49">
        <v>18000</v>
      </c>
    </row>
    <row r="111" spans="1:10" x14ac:dyDescent="0.25">
      <c r="B111" s="49">
        <v>5</v>
      </c>
      <c r="C111" s="49">
        <v>-20000</v>
      </c>
      <c r="D111" s="49">
        <v>18000</v>
      </c>
      <c r="G111" s="85">
        <v>45658</v>
      </c>
      <c r="H111" s="49">
        <v>-20000</v>
      </c>
      <c r="I111" s="49">
        <v>18000</v>
      </c>
    </row>
    <row r="112" spans="1:10" x14ac:dyDescent="0.25">
      <c r="B112" s="49">
        <v>6</v>
      </c>
      <c r="C112" s="49">
        <v>30000</v>
      </c>
      <c r="D112" s="49">
        <v>18000</v>
      </c>
      <c r="G112" s="85">
        <v>46356</v>
      </c>
      <c r="H112" s="49">
        <v>30000</v>
      </c>
      <c r="I112" s="49">
        <v>18000</v>
      </c>
    </row>
    <row r="113" spans="2:9" x14ac:dyDescent="0.25">
      <c r="B113" s="49">
        <v>7</v>
      </c>
      <c r="C113" s="49">
        <v>45000</v>
      </c>
      <c r="D113" s="49">
        <v>18000</v>
      </c>
      <c r="G113" s="85">
        <v>46611</v>
      </c>
      <c r="H113" s="49">
        <v>45000</v>
      </c>
      <c r="I113" s="49">
        <v>18000</v>
      </c>
    </row>
    <row r="114" spans="2:9" x14ac:dyDescent="0.25">
      <c r="B114" s="49">
        <v>8</v>
      </c>
      <c r="C114" s="49">
        <v>50000</v>
      </c>
      <c r="D114" s="49">
        <v>18000</v>
      </c>
      <c r="G114" s="85">
        <v>46752</v>
      </c>
      <c r="H114" s="49">
        <v>50000</v>
      </c>
      <c r="I114" s="49">
        <v>18000</v>
      </c>
    </row>
    <row r="115" spans="2:9" x14ac:dyDescent="0.25">
      <c r="B115" s="53" t="s">
        <v>244</v>
      </c>
      <c r="C115" s="75">
        <f>NPV(C105,C107:C114)</f>
        <v>14724.957491881574</v>
      </c>
      <c r="D115" s="75">
        <f>NPV(C105,D107:D114)</f>
        <v>455.53388047081785</v>
      </c>
      <c r="G115" s="53" t="s">
        <v>245</v>
      </c>
      <c r="H115" s="75">
        <f>XNPV(H105,H107:H114,G107:G114)</f>
        <v>29893.481403004043</v>
      </c>
      <c r="I115" s="75">
        <f>XNPV(H105,I107:I114,G107:G114)</f>
        <v>12881.672832842505</v>
      </c>
    </row>
    <row r="116" spans="2:9" x14ac:dyDescent="0.25">
      <c r="B116" s="53" t="s">
        <v>279</v>
      </c>
      <c r="C116" s="80">
        <f>IRR(C107:C114)</f>
        <v>9.2344501044673954E-2</v>
      </c>
      <c r="D116" s="80">
        <f>IRR(D107:D114)</f>
        <v>6.1357043431457869E-2</v>
      </c>
      <c r="G116" s="53" t="s">
        <v>246</v>
      </c>
      <c r="H116" s="80">
        <f>XIRR(H107:H114,G107:G114)</f>
        <v>0.16119517683982856</v>
      </c>
      <c r="I116" s="80">
        <f>XIRR(I107:I114,G107:G114)</f>
        <v>0.13640791773796082</v>
      </c>
    </row>
    <row r="117" spans="2:9" x14ac:dyDescent="0.25">
      <c r="C117" s="43">
        <f>NPV(C105,C107:C114)</f>
        <v>14724.957491881574</v>
      </c>
      <c r="D117" s="91">
        <f>IRR(D107:D114)</f>
        <v>6.1357043431457869E-2</v>
      </c>
    </row>
    <row r="118" spans="2:9" x14ac:dyDescent="0.25">
      <c r="B118" t="s">
        <v>283</v>
      </c>
      <c r="C118" s="91">
        <f>IRR(C107:C114)</f>
        <v>9.2344501044673954E-2</v>
      </c>
      <c r="D118" s="43">
        <f>NPV(C105,D107:D114)</f>
        <v>455.53388047081785</v>
      </c>
    </row>
    <row r="122" spans="2:9" x14ac:dyDescent="0.25">
      <c r="B122" t="s">
        <v>287</v>
      </c>
      <c r="F122" t="s">
        <v>301</v>
      </c>
    </row>
    <row r="123" spans="2:9" x14ac:dyDescent="0.25">
      <c r="D123" t="s">
        <v>296</v>
      </c>
      <c r="F123" t="s">
        <v>298</v>
      </c>
    </row>
    <row r="124" spans="2:9" x14ac:dyDescent="0.25">
      <c r="B124" s="103" t="s">
        <v>249</v>
      </c>
      <c r="C124" s="103"/>
      <c r="D124" s="108" t="s">
        <v>248</v>
      </c>
      <c r="E124" s="109"/>
      <c r="F124" s="31" t="s">
        <v>294</v>
      </c>
      <c r="G124" s="31" t="s">
        <v>295</v>
      </c>
    </row>
    <row r="125" spans="2:9" x14ac:dyDescent="0.25">
      <c r="B125" s="49" t="s">
        <v>288</v>
      </c>
      <c r="C125" s="86">
        <v>130000</v>
      </c>
      <c r="D125" s="49">
        <v>1</v>
      </c>
      <c r="E125" s="83">
        <f>DB($C$125,$C$125*$C$126,C127,D125)</f>
        <v>18460</v>
      </c>
      <c r="F125" s="83">
        <f>($C$125-SUM($E$125:E125))</f>
        <v>111540</v>
      </c>
      <c r="G125" s="83">
        <f>$C$125-$C$128*D125</f>
        <v>122200</v>
      </c>
    </row>
    <row r="126" spans="2:9" x14ac:dyDescent="0.25">
      <c r="B126" s="49" t="s">
        <v>289</v>
      </c>
      <c r="C126" s="87">
        <v>0.1</v>
      </c>
      <c r="D126" s="49">
        <v>2</v>
      </c>
      <c r="E126" s="83">
        <f>DB($C$125,$C$125*$C$126,$C$127,D126)</f>
        <v>15838.679999999998</v>
      </c>
      <c r="F126" s="83">
        <f>($C$125-SUM($E$125:E126))</f>
        <v>95701.32</v>
      </c>
      <c r="G126" s="83">
        <f t="shared" ref="G126:G140" si="4">$C$125-$C$128*D126</f>
        <v>114400</v>
      </c>
    </row>
    <row r="127" spans="2:9" x14ac:dyDescent="0.25">
      <c r="B127" s="49" t="s">
        <v>290</v>
      </c>
      <c r="C127" s="86">
        <v>15</v>
      </c>
      <c r="D127" s="49">
        <v>3</v>
      </c>
      <c r="E127" s="83">
        <f t="shared" ref="E127:E139" si="5">DB($C$125,$C$125*$C$126,$C$127,D127)</f>
        <v>13589.587439999999</v>
      </c>
      <c r="F127" s="83">
        <f>($C$125-SUM($E$125:E127))</f>
        <v>82111.732560000004</v>
      </c>
      <c r="G127" s="83">
        <f t="shared" si="4"/>
        <v>106600</v>
      </c>
    </row>
    <row r="128" spans="2:9" x14ac:dyDescent="0.25">
      <c r="B128" s="49" t="s">
        <v>291</v>
      </c>
      <c r="C128" s="88">
        <f>SLN(C125,C125*C126,C127)</f>
        <v>7800</v>
      </c>
      <c r="D128" s="49">
        <v>4</v>
      </c>
      <c r="E128" s="83">
        <f t="shared" si="5"/>
        <v>11659.866023519999</v>
      </c>
      <c r="F128" s="83">
        <f>($C$125-SUM($E$125:E128))</f>
        <v>70451.866536479996</v>
      </c>
      <c r="G128" s="83">
        <f t="shared" si="4"/>
        <v>98800</v>
      </c>
    </row>
    <row r="129" spans="1:7" x14ac:dyDescent="0.25">
      <c r="C129" s="43">
        <f>SLN(C125,C125*C126,C127)</f>
        <v>7800</v>
      </c>
      <c r="D129" s="49">
        <v>5</v>
      </c>
      <c r="E129" s="83">
        <f t="shared" si="5"/>
        <v>10004.165048180161</v>
      </c>
      <c r="F129" s="83">
        <f>($C$125-SUM($E$125:E129))</f>
        <v>60447.701488299848</v>
      </c>
      <c r="G129" s="83">
        <f t="shared" si="4"/>
        <v>91000</v>
      </c>
    </row>
    <row r="130" spans="1:7" x14ac:dyDescent="0.25">
      <c r="B130" t="s">
        <v>292</v>
      </c>
      <c r="D130" s="49">
        <v>6</v>
      </c>
      <c r="E130" s="83">
        <f t="shared" si="5"/>
        <v>8583.5736113385774</v>
      </c>
      <c r="F130" s="83">
        <f>($C$125-SUM($E$125:E130))</f>
        <v>51864.127876961269</v>
      </c>
      <c r="G130" s="83">
        <f t="shared" si="4"/>
        <v>83200</v>
      </c>
    </row>
    <row r="131" spans="1:7" x14ac:dyDescent="0.25">
      <c r="D131" s="49">
        <v>7</v>
      </c>
      <c r="E131" s="83">
        <f t="shared" si="5"/>
        <v>7364.7061585284991</v>
      </c>
      <c r="F131" s="83">
        <f>($C$125-SUM($E$125:E131))</f>
        <v>44499.421718432772</v>
      </c>
      <c r="G131" s="83">
        <f t="shared" si="4"/>
        <v>75400</v>
      </c>
    </row>
    <row r="132" spans="1:7" x14ac:dyDescent="0.25">
      <c r="B132" t="s">
        <v>293</v>
      </c>
      <c r="D132" s="49">
        <v>8</v>
      </c>
      <c r="E132" s="83">
        <f t="shared" si="5"/>
        <v>6318.9178840174527</v>
      </c>
      <c r="F132" s="83">
        <f>($C$125-SUM($E$125:E132))</f>
        <v>38180.503834415314</v>
      </c>
      <c r="G132" s="83">
        <f t="shared" si="4"/>
        <v>67600</v>
      </c>
    </row>
    <row r="133" spans="1:7" x14ac:dyDescent="0.25">
      <c r="D133" s="49">
        <v>9</v>
      </c>
      <c r="E133" s="83">
        <f t="shared" si="5"/>
        <v>5421.6315444869751</v>
      </c>
      <c r="F133" s="83">
        <f>($C$125-SUM($E$125:E133))</f>
        <v>32758.872289928346</v>
      </c>
      <c r="G133" s="83">
        <f t="shared" si="4"/>
        <v>59800</v>
      </c>
    </row>
    <row r="134" spans="1:7" x14ac:dyDescent="0.25">
      <c r="D134" s="49">
        <v>10</v>
      </c>
      <c r="E134" s="83">
        <f t="shared" si="5"/>
        <v>4651.7598651698245</v>
      </c>
      <c r="F134" s="83">
        <f>($C$125-SUM($E$125:E134))</f>
        <v>28107.112424758525</v>
      </c>
      <c r="G134" s="83">
        <f t="shared" si="4"/>
        <v>52000</v>
      </c>
    </row>
    <row r="135" spans="1:7" x14ac:dyDescent="0.25">
      <c r="D135" s="49">
        <v>11</v>
      </c>
      <c r="E135" s="83">
        <f t="shared" si="5"/>
        <v>3991.2099643157098</v>
      </c>
      <c r="F135" s="83">
        <f>($C$125-SUM($E$125:E135))</f>
        <v>24115.902460442812</v>
      </c>
      <c r="G135" s="83">
        <f t="shared" si="4"/>
        <v>44200</v>
      </c>
    </row>
    <row r="136" spans="1:7" x14ac:dyDescent="0.25">
      <c r="D136" s="49">
        <v>12</v>
      </c>
      <c r="E136" s="83">
        <f t="shared" si="5"/>
        <v>3424.4581493828791</v>
      </c>
      <c r="F136" s="83">
        <f>($C$125-SUM($E$125:E136))</f>
        <v>20691.444311059939</v>
      </c>
      <c r="G136" s="83">
        <f t="shared" si="4"/>
        <v>36400</v>
      </c>
    </row>
    <row r="137" spans="1:7" x14ac:dyDescent="0.25">
      <c r="D137" s="49">
        <v>13</v>
      </c>
      <c r="E137" s="83">
        <f t="shared" si="5"/>
        <v>2938.18509217051</v>
      </c>
      <c r="F137" s="83">
        <f>($C$125-SUM($E$125:E137))</f>
        <v>17753.259218889434</v>
      </c>
      <c r="G137" s="83">
        <f t="shared" si="4"/>
        <v>28600</v>
      </c>
    </row>
    <row r="138" spans="1:7" x14ac:dyDescent="0.25">
      <c r="D138" s="49">
        <v>14</v>
      </c>
      <c r="E138" s="83">
        <f t="shared" si="5"/>
        <v>2520.9628090822976</v>
      </c>
      <c r="F138" s="83">
        <f>($C$125-SUM($E$125:E138))</f>
        <v>15232.296409807139</v>
      </c>
      <c r="G138" s="83">
        <f t="shared" si="4"/>
        <v>20800</v>
      </c>
    </row>
    <row r="139" spans="1:7" x14ac:dyDescent="0.25">
      <c r="D139" s="49">
        <v>15</v>
      </c>
      <c r="E139" s="83">
        <f t="shared" si="5"/>
        <v>2162.9860901926113</v>
      </c>
      <c r="F139" s="83">
        <f>($C$125-SUM($E$125:E139))</f>
        <v>13069.310319614524</v>
      </c>
      <c r="G139" s="83">
        <f t="shared" si="4"/>
        <v>13000</v>
      </c>
    </row>
    <row r="140" spans="1:7" x14ac:dyDescent="0.25">
      <c r="E140" t="s">
        <v>297</v>
      </c>
      <c r="F140" s="43">
        <f>($C$125-SUM($E$125:E140))</f>
        <v>13069.310319614524</v>
      </c>
      <c r="G140" s="43">
        <f t="shared" si="4"/>
        <v>130000</v>
      </c>
    </row>
    <row r="141" spans="1:7" x14ac:dyDescent="0.25">
      <c r="F141" t="s">
        <v>300</v>
      </c>
      <c r="G141" t="s">
        <v>299</v>
      </c>
    </row>
    <row r="142" spans="1:7" x14ac:dyDescent="0.25">
      <c r="A142" t="s">
        <v>307</v>
      </c>
    </row>
    <row r="144" spans="1:7" x14ac:dyDescent="0.25">
      <c r="A144" t="s">
        <v>304</v>
      </c>
      <c r="B144" t="s">
        <v>305</v>
      </c>
      <c r="C144" t="s">
        <v>306</v>
      </c>
      <c r="E144" t="s">
        <v>311</v>
      </c>
      <c r="F144" t="s">
        <v>312</v>
      </c>
    </row>
    <row r="145" spans="1:9" x14ac:dyDescent="0.25">
      <c r="A145" s="81" t="s">
        <v>264</v>
      </c>
      <c r="B145" s="81" t="s">
        <v>302</v>
      </c>
      <c r="C145" s="81" t="s">
        <v>303</v>
      </c>
      <c r="E145" s="103" t="s">
        <v>308</v>
      </c>
      <c r="F145" s="103"/>
      <c r="G145" s="79"/>
      <c r="H145" s="103" t="s">
        <v>308</v>
      </c>
      <c r="I145" s="103"/>
    </row>
    <row r="146" spans="1:9" x14ac:dyDescent="0.25">
      <c r="A146" s="49">
        <v>1</v>
      </c>
      <c r="B146" s="83">
        <f>DDB($C$125,$C$126,$C$127,A146)</f>
        <v>17333.333333333332</v>
      </c>
      <c r="C146" s="83">
        <f>SYD($C$125,$C$125*$C$126,$C$127,A146)</f>
        <v>14625</v>
      </c>
      <c r="E146" s="49" t="s">
        <v>309</v>
      </c>
      <c r="F146" s="51">
        <v>0.02</v>
      </c>
      <c r="H146" s="49" t="s">
        <v>309</v>
      </c>
      <c r="I146" s="51">
        <v>0.01</v>
      </c>
    </row>
    <row r="147" spans="1:9" x14ac:dyDescent="0.25">
      <c r="A147" s="49">
        <v>2</v>
      </c>
      <c r="B147" s="83">
        <f t="shared" ref="B147:B160" si="6">DDB($C$125,$C$126,$C$127,A147)</f>
        <v>15022.222222222223</v>
      </c>
      <c r="C147" s="83">
        <f t="shared" ref="C147:C160" si="7">SYD($C$125,$C$125*$C$126,$C$127,A147)</f>
        <v>13650</v>
      </c>
      <c r="E147" s="49" t="s">
        <v>271</v>
      </c>
      <c r="F147" s="49">
        <v>12</v>
      </c>
      <c r="H147" s="49" t="s">
        <v>271</v>
      </c>
      <c r="I147" s="49">
        <v>12</v>
      </c>
    </row>
    <row r="148" spans="1:9" x14ac:dyDescent="0.25">
      <c r="A148" s="49">
        <v>3</v>
      </c>
      <c r="B148" s="83">
        <f t="shared" si="6"/>
        <v>13019.259259259261</v>
      </c>
      <c r="C148" s="83">
        <f t="shared" si="7"/>
        <v>12675</v>
      </c>
      <c r="E148" s="49" t="s">
        <v>310</v>
      </c>
      <c r="F148" s="89">
        <f>EFFECT(F146,F147)</f>
        <v>2.0184355681502009E-2</v>
      </c>
      <c r="H148" s="49" t="s">
        <v>310</v>
      </c>
      <c r="I148" s="90">
        <f>EFFECT(I146,I147)</f>
        <v>1.0045960887180572E-2</v>
      </c>
    </row>
    <row r="149" spans="1:9" x14ac:dyDescent="0.25">
      <c r="A149" s="49">
        <v>4</v>
      </c>
      <c r="B149" s="83">
        <f t="shared" si="6"/>
        <v>11283.358024691359</v>
      </c>
      <c r="C149" s="83">
        <f t="shared" si="7"/>
        <v>11700</v>
      </c>
    </row>
    <row r="150" spans="1:9" x14ac:dyDescent="0.25">
      <c r="A150" s="49">
        <v>5</v>
      </c>
      <c r="B150" s="83">
        <f t="shared" si="6"/>
        <v>9778.9102880658447</v>
      </c>
      <c r="C150" s="83">
        <f t="shared" si="7"/>
        <v>10725</v>
      </c>
      <c r="G150" t="s">
        <v>313</v>
      </c>
    </row>
    <row r="151" spans="1:9" x14ac:dyDescent="0.25">
      <c r="A151" s="49">
        <v>6</v>
      </c>
      <c r="B151" s="83">
        <f t="shared" si="6"/>
        <v>8475.0555829903988</v>
      </c>
      <c r="C151" s="83">
        <f t="shared" si="7"/>
        <v>9750</v>
      </c>
    </row>
    <row r="152" spans="1:9" x14ac:dyDescent="0.25">
      <c r="A152" s="49">
        <v>7</v>
      </c>
      <c r="B152" s="83">
        <f t="shared" si="6"/>
        <v>7345.0481719250129</v>
      </c>
      <c r="C152" s="83">
        <f t="shared" si="7"/>
        <v>8775</v>
      </c>
    </row>
    <row r="153" spans="1:9" x14ac:dyDescent="0.25">
      <c r="A153" s="49">
        <v>8</v>
      </c>
      <c r="B153" s="83">
        <f t="shared" si="6"/>
        <v>6365.708415668345</v>
      </c>
      <c r="C153" s="83">
        <f t="shared" si="7"/>
        <v>7800</v>
      </c>
    </row>
    <row r="154" spans="1:9" x14ac:dyDescent="0.25">
      <c r="A154" s="49">
        <v>9</v>
      </c>
      <c r="B154" s="83">
        <f t="shared" si="6"/>
        <v>5516.947293579231</v>
      </c>
      <c r="C154" s="83">
        <f t="shared" si="7"/>
        <v>6825</v>
      </c>
    </row>
    <row r="155" spans="1:9" x14ac:dyDescent="0.25">
      <c r="A155" s="49">
        <v>10</v>
      </c>
      <c r="B155" s="83">
        <f t="shared" si="6"/>
        <v>4781.3543211020005</v>
      </c>
      <c r="C155" s="83">
        <f t="shared" si="7"/>
        <v>5850</v>
      </c>
    </row>
    <row r="156" spans="1:9" x14ac:dyDescent="0.25">
      <c r="A156" s="49">
        <v>11</v>
      </c>
      <c r="B156" s="83">
        <f t="shared" si="6"/>
        <v>4143.8404116217343</v>
      </c>
      <c r="C156" s="83">
        <f t="shared" si="7"/>
        <v>4875</v>
      </c>
    </row>
    <row r="157" spans="1:9" x14ac:dyDescent="0.25">
      <c r="A157" s="49">
        <v>12</v>
      </c>
      <c r="B157" s="83">
        <f t="shared" si="6"/>
        <v>3591.3283567388366</v>
      </c>
      <c r="C157" s="83">
        <f t="shared" si="7"/>
        <v>3900</v>
      </c>
    </row>
    <row r="158" spans="1:9" x14ac:dyDescent="0.25">
      <c r="A158" s="49">
        <v>13</v>
      </c>
      <c r="B158" s="83">
        <f t="shared" si="6"/>
        <v>3112.4845758403249</v>
      </c>
      <c r="C158" s="83">
        <f t="shared" si="7"/>
        <v>2925</v>
      </c>
    </row>
    <row r="159" spans="1:9" x14ac:dyDescent="0.25">
      <c r="A159" s="49">
        <v>14</v>
      </c>
      <c r="B159" s="83">
        <f t="shared" si="6"/>
        <v>2697.4866323949482</v>
      </c>
      <c r="C159" s="83">
        <f t="shared" si="7"/>
        <v>1950</v>
      </c>
    </row>
    <row r="160" spans="1:9" x14ac:dyDescent="0.25">
      <c r="A160" s="49">
        <v>15</v>
      </c>
      <c r="B160" s="83">
        <f t="shared" si="6"/>
        <v>2337.8217480756221</v>
      </c>
      <c r="C160" s="83">
        <f t="shared" si="7"/>
        <v>975</v>
      </c>
    </row>
  </sheetData>
  <mergeCells count="15">
    <mergeCell ref="E145:F145"/>
    <mergeCell ref="H145:I145"/>
    <mergeCell ref="I8:J8"/>
    <mergeCell ref="I15:J15"/>
    <mergeCell ref="C1:D1"/>
    <mergeCell ref="C8:D8"/>
    <mergeCell ref="F1:G1"/>
    <mergeCell ref="F8:G8"/>
    <mergeCell ref="C15:D15"/>
    <mergeCell ref="F15:G15"/>
    <mergeCell ref="B104:D104"/>
    <mergeCell ref="G104:I104"/>
    <mergeCell ref="B124:C124"/>
    <mergeCell ref="D124:E124"/>
    <mergeCell ref="C22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Profit &amp; Loss</vt:lpstr>
      <vt:lpstr>VALUATION</vt:lpstr>
      <vt:lpstr>Quarters</vt:lpstr>
      <vt:lpstr>RCi</vt:lpstr>
      <vt:lpstr>Balance Sheet</vt:lpstr>
      <vt:lpstr>PL</vt:lpstr>
      <vt:lpstr>Valuation </vt:lpstr>
      <vt:lpstr>Portfolio mangment </vt:lpstr>
      <vt:lpstr>FF(financial formulas)</vt:lpstr>
      <vt:lpstr>BS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channu k c</cp:lastModifiedBy>
  <cp:lastPrinted>2012-12-06T18:14:13Z</cp:lastPrinted>
  <dcterms:created xsi:type="dcterms:W3CDTF">2012-08-17T09:55:37Z</dcterms:created>
  <dcterms:modified xsi:type="dcterms:W3CDTF">2025-03-01T13:48:13Z</dcterms:modified>
</cp:coreProperties>
</file>