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ynew\3D Objects\"/>
    </mc:Choice>
  </mc:AlternateContent>
  <bookViews>
    <workbookView xWindow="0" yWindow="0" windowWidth="14380" windowHeight="5770" activeTab="2"/>
  </bookViews>
  <sheets>
    <sheet name=" Financial analytics" sheetId="5" r:id="rId1"/>
    <sheet name=" Financial formulas" sheetId="1" r:id="rId2"/>
    <sheet name=" Portfolio managemen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J40" i="1"/>
  <c r="J41" i="1"/>
  <c r="J42" i="1"/>
  <c r="J43" i="1"/>
  <c r="J44" i="1"/>
  <c r="J45" i="1"/>
  <c r="J46" i="1"/>
  <c r="J47" i="1"/>
  <c r="J48" i="1"/>
  <c r="J49" i="1"/>
  <c r="J50" i="1"/>
  <c r="J51" i="1"/>
  <c r="J39" i="1"/>
  <c r="I40" i="1" l="1"/>
  <c r="I41" i="1"/>
  <c r="I42" i="1"/>
  <c r="I43" i="1"/>
  <c r="I44" i="1"/>
  <c r="I45" i="1"/>
  <c r="I46" i="1"/>
  <c r="I47" i="1"/>
  <c r="I48" i="1"/>
  <c r="I49" i="1"/>
  <c r="I50" i="1"/>
  <c r="I51" i="1"/>
  <c r="I39" i="1"/>
  <c r="H40" i="1"/>
  <c r="H41" i="1"/>
  <c r="H42" i="1"/>
  <c r="H43" i="1"/>
  <c r="H44" i="1"/>
  <c r="H45" i="1"/>
  <c r="H46" i="1"/>
  <c r="H47" i="1"/>
  <c r="H48" i="1"/>
  <c r="H49" i="1"/>
  <c r="H50" i="1"/>
  <c r="H51" i="1"/>
  <c r="H39" i="1"/>
  <c r="D42" i="1"/>
  <c r="G40" i="1"/>
  <c r="G41" i="1"/>
  <c r="G42" i="1"/>
  <c r="G43" i="1"/>
  <c r="G44" i="1"/>
  <c r="G45" i="1"/>
  <c r="G46" i="1"/>
  <c r="G47" i="1"/>
  <c r="G48" i="1"/>
  <c r="G49" i="1"/>
  <c r="G50" i="1"/>
  <c r="G51" i="1"/>
  <c r="G39" i="1"/>
  <c r="O33" i="1"/>
  <c r="O32" i="1"/>
  <c r="N33" i="1"/>
  <c r="N32" i="1"/>
  <c r="K34" i="1"/>
  <c r="K33" i="1"/>
  <c r="J33" i="1"/>
  <c r="D13" i="1" l="1"/>
  <c r="G19" i="1"/>
  <c r="J13" i="1"/>
  <c r="G24" i="1"/>
  <c r="G25" i="1" s="1"/>
  <c r="G26" i="1" s="1"/>
  <c r="G27" i="1" s="1"/>
  <c r="G28" i="1" s="1"/>
  <c r="G29" i="1" s="1"/>
  <c r="G30" i="1" s="1"/>
  <c r="G31" i="1" s="1"/>
  <c r="G32" i="1" s="1"/>
  <c r="F24" i="1"/>
  <c r="F25" i="1"/>
  <c r="F26" i="1"/>
  <c r="F27" i="1"/>
  <c r="F28" i="1"/>
  <c r="F29" i="1"/>
  <c r="F30" i="1"/>
  <c r="F31" i="1"/>
  <c r="F32" i="1"/>
  <c r="E24" i="1"/>
  <c r="E25" i="1"/>
  <c r="E26" i="1"/>
  <c r="E27" i="1"/>
  <c r="E28" i="1"/>
  <c r="E29" i="1"/>
  <c r="E30" i="1"/>
  <c r="E31" i="1"/>
  <c r="E32" i="1"/>
  <c r="D24" i="1"/>
  <c r="D25" i="1"/>
  <c r="D26" i="1"/>
  <c r="D27" i="1"/>
  <c r="D28" i="1"/>
  <c r="D29" i="1"/>
  <c r="D30" i="1"/>
  <c r="D31" i="1"/>
  <c r="D32" i="1"/>
  <c r="F23" i="1"/>
  <c r="G23" i="1" s="1"/>
  <c r="E23" i="1"/>
  <c r="D23" i="1"/>
  <c r="J19" i="1"/>
  <c r="D19" i="1"/>
  <c r="G13" i="1" l="1"/>
  <c r="G7" i="1"/>
  <c r="D7" i="1"/>
</calcChain>
</file>

<file path=xl/sharedStrings.xml><?xml version="1.0" encoding="utf-8"?>
<sst xmlns="http://schemas.openxmlformats.org/spreadsheetml/2006/main" count="118" uniqueCount="92">
  <si>
    <t>present value</t>
  </si>
  <si>
    <t>future value</t>
  </si>
  <si>
    <t>nper</t>
  </si>
  <si>
    <t>loan emi -pmt</t>
  </si>
  <si>
    <t>npv</t>
  </si>
  <si>
    <t>irr</t>
  </si>
  <si>
    <t>xnpv</t>
  </si>
  <si>
    <t>xirr</t>
  </si>
  <si>
    <t>effect</t>
  </si>
  <si>
    <t>db</t>
  </si>
  <si>
    <t>sln</t>
  </si>
  <si>
    <t>Future Value</t>
  </si>
  <si>
    <t>Investment</t>
  </si>
  <si>
    <t>IR</t>
  </si>
  <si>
    <t>Year</t>
  </si>
  <si>
    <t>Maturiety Amt</t>
  </si>
  <si>
    <t>Future value</t>
  </si>
  <si>
    <t>SIP</t>
  </si>
  <si>
    <t>YEAR</t>
  </si>
  <si>
    <t>Present value</t>
  </si>
  <si>
    <t>Goal Amt</t>
  </si>
  <si>
    <t>SWP</t>
  </si>
  <si>
    <t>PMT</t>
  </si>
  <si>
    <t>NO OF YEARS</t>
  </si>
  <si>
    <t>Goal AMT</t>
  </si>
  <si>
    <t>Years</t>
  </si>
  <si>
    <t>CAGR</t>
  </si>
  <si>
    <t>YEARS</t>
  </si>
  <si>
    <t>EMI</t>
  </si>
  <si>
    <t>Loan</t>
  </si>
  <si>
    <t>Month</t>
  </si>
  <si>
    <t>intrest rate</t>
  </si>
  <si>
    <t>principal</t>
  </si>
  <si>
    <t>balance</t>
  </si>
  <si>
    <t>NPV</t>
  </si>
  <si>
    <t>NPV,IRR</t>
  </si>
  <si>
    <t>INFLATON OR DR</t>
  </si>
  <si>
    <t>cashflow 2</t>
  </si>
  <si>
    <t>cashflow 1</t>
  </si>
  <si>
    <t>Date</t>
  </si>
  <si>
    <t>XNPV,XIRR</t>
  </si>
  <si>
    <t>XNPV</t>
  </si>
  <si>
    <t>XIRR</t>
  </si>
  <si>
    <t>IRR</t>
  </si>
  <si>
    <t>SLN</t>
  </si>
  <si>
    <t>cost</t>
  </si>
  <si>
    <t>salvage</t>
  </si>
  <si>
    <t>life</t>
  </si>
  <si>
    <t>Depp</t>
  </si>
  <si>
    <t>Diminishing Balance(DB)</t>
  </si>
  <si>
    <t>IDV-DB</t>
  </si>
  <si>
    <t>IDV-SLN</t>
  </si>
  <si>
    <t>SYD</t>
  </si>
  <si>
    <t>EFFECT</t>
  </si>
  <si>
    <t>RATE</t>
  </si>
  <si>
    <t>MONTH</t>
  </si>
  <si>
    <t>EFFECTIVE IR</t>
  </si>
  <si>
    <t xml:space="preserve">Investment Amount  </t>
  </si>
  <si>
    <t>Hedge Ratio</t>
  </si>
  <si>
    <t>Portfolio PB</t>
  </si>
  <si>
    <t>Duartion</t>
  </si>
  <si>
    <t>5 Years</t>
  </si>
  <si>
    <t>Portfolio PE</t>
  </si>
  <si>
    <t xml:space="preserve">Stocks </t>
  </si>
  <si>
    <t>CMP</t>
  </si>
  <si>
    <t>PE (return)</t>
  </si>
  <si>
    <t>PB (Risk)</t>
  </si>
  <si>
    <t>Beta</t>
  </si>
  <si>
    <t>RAR</t>
  </si>
  <si>
    <t>%Allocation</t>
  </si>
  <si>
    <t xml:space="preserve"> Amount </t>
  </si>
  <si>
    <t>Qty</t>
  </si>
  <si>
    <t xml:space="preserve">Adani ports </t>
  </si>
  <si>
    <t xml:space="preserve">Appollo Hospitals </t>
  </si>
  <si>
    <t xml:space="preserve">Asian paints </t>
  </si>
  <si>
    <t xml:space="preserve">Axis bank </t>
  </si>
  <si>
    <t>Bajaj Auto</t>
  </si>
  <si>
    <t>Bharti Airtel</t>
  </si>
  <si>
    <t>Britania</t>
  </si>
  <si>
    <t>Cipla</t>
  </si>
  <si>
    <t>Coal India</t>
  </si>
  <si>
    <t>Infosys</t>
  </si>
  <si>
    <t>Total</t>
  </si>
  <si>
    <t>Portfolio Management</t>
  </si>
  <si>
    <t xml:space="preserve">Financial analytics </t>
  </si>
  <si>
    <t>Financial Statement for  analysis</t>
  </si>
  <si>
    <t>Important Financial Ratio</t>
  </si>
  <si>
    <t>Depreciation Methods used in analysis</t>
  </si>
  <si>
    <t>Types of Equity portfolio</t>
  </si>
  <si>
    <t>Types of Forecasting models</t>
  </si>
  <si>
    <t xml:space="preserve">GST, Direct Tax, Types of insurance, Types of Bonds and Types of Mutual Fund </t>
  </si>
  <si>
    <t>(Assignment)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</si>
</sst>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₹&quot;\ #,##0.00;[Red]&quot;₹&quot;\ \-#,##0.00"/>
    <numFmt numFmtId="164" formatCode="&quot;₹&quot;#,##0.00"/>
    <numFmt numFmtId="165" formatCode="[$₹-4009]\ #,##0.00"/>
    <numFmt numFmtId="166" formatCode="_ [$₹-4009]\ * #,##0.00_ ;_ [$₹-4009]\ * \-#,##0.00_ ;_ [$₹-4009]\ * &quot;-&quot;??_ ;_ @_ "/>
    <numFmt numFmtId="167" formatCode="_([$€-2]\ * #,##0.00_);_([$€-2]\ * \(#,##0.00\);_([$€-2]\ * &quot;-&quot;??_);_(@_)"/>
    <numFmt numFmtId="168" formatCode="[$-14009]dd/mm/yyyy;@"/>
    <numFmt numFmtId="173" formatCode="&quot;₹&quot;\ #,##0.00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0"/>
      <name val="Microsoft YaHei U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9" fontId="0" fillId="0" borderId="1" xfId="0" applyNumberFormat="1" applyBorder="1"/>
    <xf numFmtId="166" fontId="0" fillId="2" borderId="1" xfId="0" applyNumberFormat="1" applyFill="1" applyBorder="1"/>
    <xf numFmtId="165" fontId="0" fillId="2" borderId="1" xfId="0" applyNumberFormat="1" applyFill="1" applyBorder="1"/>
    <xf numFmtId="0" fontId="1" fillId="0" borderId="0" xfId="0" applyFont="1"/>
    <xf numFmtId="167" fontId="0" fillId="0" borderId="0" xfId="0" applyNumberFormat="1"/>
    <xf numFmtId="166" fontId="0" fillId="0" borderId="0" xfId="0" applyNumberFormat="1" applyProtection="1">
      <protection locked="0"/>
    </xf>
    <xf numFmtId="164" fontId="0" fillId="2" borderId="1" xfId="0" applyNumberFormat="1" applyFill="1" applyBorder="1"/>
    <xf numFmtId="0" fontId="0" fillId="0" borderId="1" xfId="0" applyFill="1" applyBorder="1"/>
    <xf numFmtId="0" fontId="0" fillId="3" borderId="1" xfId="0" applyFill="1" applyBorder="1"/>
    <xf numFmtId="0" fontId="0" fillId="5" borderId="2" xfId="0" applyFill="1" applyBorder="1" applyAlignment="1"/>
    <xf numFmtId="0" fontId="0" fillId="0" borderId="5" xfId="0" applyBorder="1"/>
    <xf numFmtId="0" fontId="0" fillId="0" borderId="6" xfId="0" applyBorder="1"/>
    <xf numFmtId="9" fontId="0" fillId="0" borderId="6" xfId="0" applyNumberFormat="1" applyBorder="1"/>
    <xf numFmtId="0" fontId="0" fillId="0" borderId="7" xfId="0" applyBorder="1"/>
    <xf numFmtId="165" fontId="0" fillId="2" borderId="8" xfId="0" applyNumberFormat="1" applyFill="1" applyBorder="1"/>
    <xf numFmtId="3" fontId="0" fillId="0" borderId="6" xfId="0" applyNumberFormat="1" applyBorder="1"/>
    <xf numFmtId="8" fontId="0" fillId="2" borderId="8" xfId="0" applyNumberFormat="1" applyFill="1" applyBorder="1"/>
    <xf numFmtId="8" fontId="0" fillId="0" borderId="1" xfId="0" applyNumberFormat="1" applyBorder="1"/>
    <xf numFmtId="0" fontId="0" fillId="4" borderId="3" xfId="0" applyFill="1" applyBorder="1"/>
    <xf numFmtId="0" fontId="0" fillId="4" borderId="9" xfId="0" applyFill="1" applyBorder="1"/>
    <xf numFmtId="0" fontId="0" fillId="4" borderId="4" xfId="0" applyFill="1" applyBorder="1"/>
    <xf numFmtId="8" fontId="0" fillId="0" borderId="6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0" fontId="0" fillId="4" borderId="0" xfId="0" applyFill="1" applyBorder="1"/>
    <xf numFmtId="168" fontId="0" fillId="0" borderId="1" xfId="0" applyNumberFormat="1" applyBorder="1"/>
    <xf numFmtId="0" fontId="0" fillId="8" borderId="1" xfId="0" applyFill="1" applyBorder="1"/>
    <xf numFmtId="0" fontId="0" fillId="7" borderId="1" xfId="0" applyFill="1" applyBorder="1"/>
    <xf numFmtId="8" fontId="0" fillId="7" borderId="1" xfId="0" applyNumberFormat="1" applyFill="1" applyBorder="1"/>
    <xf numFmtId="9" fontId="0" fillId="7" borderId="1" xfId="0" applyNumberFormat="1" applyFill="1" applyBorder="1"/>
    <xf numFmtId="0" fontId="0" fillId="6" borderId="1" xfId="0" applyFill="1" applyBorder="1"/>
    <xf numFmtId="8" fontId="0" fillId="6" borderId="1" xfId="0" applyNumberFormat="1" applyFill="1" applyBorder="1"/>
    <xf numFmtId="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/>
    <xf numFmtId="9" fontId="0" fillId="0" borderId="1" xfId="1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0" xfId="0" applyFill="1"/>
    <xf numFmtId="0" fontId="3" fillId="1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9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73" fontId="3" fillId="9" borderId="1" xfId="0" applyNumberFormat="1" applyFont="1" applyFill="1" applyBorder="1" applyAlignment="1">
      <alignment horizontal="center"/>
    </xf>
    <xf numFmtId="10" fontId="3" fillId="11" borderId="1" xfId="0" applyNumberFormat="1" applyFont="1" applyFill="1" applyBorder="1" applyAlignment="1">
      <alignment horizontal="center"/>
    </xf>
    <xf numFmtId="0" fontId="3" fillId="0" borderId="12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13" borderId="0" xfId="0" applyFont="1" applyFill="1" applyAlignment="1">
      <alignment horizontal="center"/>
    </xf>
    <xf numFmtId="0" fontId="0" fillId="0" borderId="0" xfId="0"/>
    <xf numFmtId="0" fontId="0" fillId="9" borderId="0" xfId="0" applyFill="1"/>
    <xf numFmtId="0" fontId="6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1"/>
  <sheetViews>
    <sheetView workbookViewId="0">
      <selection activeCell="B17" sqref="B17"/>
    </sheetView>
  </sheetViews>
  <sheetFormatPr defaultRowHeight="14.5" x14ac:dyDescent="0.35"/>
  <cols>
    <col min="4" max="4" width="1.81640625" bestFit="1" customWidth="1"/>
    <col min="5" max="5" width="67.08984375" bestFit="1" customWidth="1"/>
  </cols>
  <sheetData>
    <row r="3" spans="4:10" x14ac:dyDescent="0.35">
      <c r="D3" s="63"/>
      <c r="E3" s="62" t="s">
        <v>84</v>
      </c>
      <c r="F3" s="62"/>
      <c r="G3" s="62"/>
      <c r="H3" s="62"/>
      <c r="I3" s="62"/>
      <c r="J3" s="62"/>
    </row>
    <row r="4" spans="4:10" x14ac:dyDescent="0.35">
      <c r="D4" s="63"/>
      <c r="E4" s="62"/>
      <c r="F4" s="62"/>
      <c r="G4" s="62"/>
      <c r="H4" s="62"/>
      <c r="I4" s="62"/>
      <c r="J4" s="62"/>
    </row>
    <row r="6" spans="4:10" x14ac:dyDescent="0.35">
      <c r="D6" s="63">
        <v>1</v>
      </c>
      <c r="E6" s="63" t="s">
        <v>85</v>
      </c>
      <c r="F6" s="63"/>
      <c r="G6" s="63"/>
      <c r="H6" s="63"/>
      <c r="I6" s="63"/>
      <c r="J6" s="63"/>
    </row>
    <row r="7" spans="4:10" x14ac:dyDescent="0.35">
      <c r="D7" s="63">
        <v>2</v>
      </c>
      <c r="E7" s="63" t="s">
        <v>86</v>
      </c>
      <c r="F7" s="63"/>
      <c r="G7" s="63"/>
      <c r="H7" s="63"/>
      <c r="I7" s="63"/>
      <c r="J7" s="63"/>
    </row>
    <row r="8" spans="4:10" x14ac:dyDescent="0.35">
      <c r="D8" s="63">
        <v>3</v>
      </c>
      <c r="E8" s="63" t="s">
        <v>87</v>
      </c>
      <c r="F8" s="63"/>
      <c r="G8" s="63"/>
      <c r="H8" s="63"/>
      <c r="I8" s="63"/>
      <c r="J8" s="63"/>
    </row>
    <row r="9" spans="4:10" x14ac:dyDescent="0.35">
      <c r="D9" s="63">
        <v>4</v>
      </c>
      <c r="E9" s="63" t="s">
        <v>88</v>
      </c>
      <c r="F9" s="63"/>
      <c r="G9" s="63"/>
      <c r="H9" s="63"/>
      <c r="I9" s="63"/>
      <c r="J9" s="63"/>
    </row>
    <row r="10" spans="4:10" x14ac:dyDescent="0.35">
      <c r="D10" s="63">
        <v>5</v>
      </c>
      <c r="E10" s="63" t="s">
        <v>89</v>
      </c>
      <c r="F10" s="63"/>
      <c r="G10" s="63"/>
      <c r="H10" s="63"/>
      <c r="I10" s="63"/>
      <c r="J10" s="63"/>
    </row>
    <row r="11" spans="4:10" x14ac:dyDescent="0.35">
      <c r="D11" s="63">
        <v>6</v>
      </c>
      <c r="E11" s="64" t="s">
        <v>90</v>
      </c>
      <c r="F11" s="63" t="s">
        <v>91</v>
      </c>
      <c r="G11" s="63"/>
      <c r="H11" s="63"/>
      <c r="I11" s="63"/>
      <c r="J11" s="63"/>
    </row>
  </sheetData>
  <mergeCells count="1">
    <mergeCell ref="E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90" zoomScaleNormal="90" workbookViewId="0">
      <selection activeCell="L1" sqref="L1"/>
    </sheetView>
  </sheetViews>
  <sheetFormatPr defaultRowHeight="14.5" x14ac:dyDescent="0.35"/>
  <cols>
    <col min="1" max="1" width="12.453125" bestFit="1" customWidth="1"/>
    <col min="3" max="3" width="13" bestFit="1" customWidth="1"/>
    <col min="4" max="4" width="13.7265625" bestFit="1" customWidth="1"/>
    <col min="5" max="5" width="9.90625" bestFit="1" customWidth="1"/>
    <col min="6" max="7" width="13" bestFit="1" customWidth="1"/>
    <col min="8" max="8" width="12" bestFit="1" customWidth="1"/>
    <col min="9" max="9" width="15.1796875" bestFit="1" customWidth="1"/>
    <col min="10" max="10" width="16.453125" bestFit="1" customWidth="1"/>
    <col min="11" max="11" width="9.81640625" bestFit="1" customWidth="1"/>
    <col min="12" max="12" width="11.6328125" bestFit="1" customWidth="1"/>
    <col min="13" max="13" width="15.1796875" bestFit="1" customWidth="1"/>
    <col min="14" max="14" width="10.453125" bestFit="1" customWidth="1"/>
  </cols>
  <sheetData>
    <row r="1" spans="1:12" x14ac:dyDescent="0.35">
      <c r="A1" s="45" t="s">
        <v>0</v>
      </c>
    </row>
    <row r="2" spans="1:12" ht="15" thickBot="1" x14ac:dyDescent="0.4">
      <c r="A2" s="45" t="s">
        <v>1</v>
      </c>
      <c r="C2" s="11"/>
      <c r="D2" s="11"/>
    </row>
    <row r="3" spans="1:12" x14ac:dyDescent="0.35">
      <c r="A3" s="45" t="s">
        <v>2</v>
      </c>
      <c r="C3" s="38" t="s">
        <v>11</v>
      </c>
      <c r="D3" s="39"/>
      <c r="F3" s="41" t="s">
        <v>16</v>
      </c>
      <c r="G3" s="41"/>
    </row>
    <row r="4" spans="1:12" x14ac:dyDescent="0.35">
      <c r="A4" s="45" t="s">
        <v>3</v>
      </c>
      <c r="C4" s="12" t="s">
        <v>12</v>
      </c>
      <c r="D4" s="13">
        <v>-300000</v>
      </c>
      <c r="F4" s="1" t="s">
        <v>17</v>
      </c>
      <c r="G4" s="1">
        <v>-5000</v>
      </c>
    </row>
    <row r="5" spans="1:12" x14ac:dyDescent="0.35">
      <c r="A5" s="45" t="s">
        <v>4</v>
      </c>
      <c r="C5" s="12" t="s">
        <v>13</v>
      </c>
      <c r="D5" s="14">
        <v>7.0000000000000007E-2</v>
      </c>
      <c r="F5" s="1" t="s">
        <v>13</v>
      </c>
      <c r="G5" s="2">
        <v>7.0000000000000007E-2</v>
      </c>
      <c r="J5" s="5"/>
    </row>
    <row r="6" spans="1:12" x14ac:dyDescent="0.35">
      <c r="A6" s="45" t="s">
        <v>5</v>
      </c>
      <c r="C6" s="12" t="s">
        <v>14</v>
      </c>
      <c r="D6" s="13">
        <v>5</v>
      </c>
      <c r="F6" s="1" t="s">
        <v>18</v>
      </c>
      <c r="G6" s="1">
        <v>5</v>
      </c>
    </row>
    <row r="7" spans="1:12" ht="15" thickBot="1" x14ac:dyDescent="0.4">
      <c r="A7" s="45" t="s">
        <v>6</v>
      </c>
      <c r="C7" s="15" t="s">
        <v>15</v>
      </c>
      <c r="D7" s="16">
        <f>FV(D5,D6,0,D4)</f>
        <v>420765.51921000006</v>
      </c>
      <c r="F7" s="1" t="s">
        <v>15</v>
      </c>
      <c r="G7" s="4">
        <f>FV(G5,G6*12,G4)</f>
        <v>4067601.9167523934</v>
      </c>
    </row>
    <row r="8" spans="1:12" ht="15" thickBot="1" x14ac:dyDescent="0.4">
      <c r="A8" s="45" t="s">
        <v>7</v>
      </c>
      <c r="L8" s="6"/>
    </row>
    <row r="9" spans="1:12" x14ac:dyDescent="0.35">
      <c r="A9" s="45" t="s">
        <v>8</v>
      </c>
      <c r="C9" s="41" t="s">
        <v>19</v>
      </c>
      <c r="D9" s="41"/>
      <c r="F9" s="41" t="s">
        <v>22</v>
      </c>
      <c r="G9" s="41"/>
      <c r="I9" s="38" t="s">
        <v>21</v>
      </c>
      <c r="J9" s="39"/>
    </row>
    <row r="10" spans="1:12" x14ac:dyDescent="0.35">
      <c r="A10" s="45" t="s">
        <v>9</v>
      </c>
      <c r="C10" s="1" t="s">
        <v>20</v>
      </c>
      <c r="D10" s="1">
        <v>500000</v>
      </c>
      <c r="F10" s="1" t="s">
        <v>20</v>
      </c>
      <c r="G10" s="1">
        <v>500000</v>
      </c>
      <c r="I10" s="12" t="s">
        <v>21</v>
      </c>
      <c r="J10" s="17">
        <v>10000</v>
      </c>
    </row>
    <row r="11" spans="1:12" x14ac:dyDescent="0.35">
      <c r="A11" s="45" t="s">
        <v>10</v>
      </c>
      <c r="C11" s="1" t="s">
        <v>13</v>
      </c>
      <c r="D11" s="2">
        <v>0.13</v>
      </c>
      <c r="F11" s="1" t="s">
        <v>13</v>
      </c>
      <c r="G11" s="2">
        <v>0.13</v>
      </c>
      <c r="I11" s="12" t="s">
        <v>13</v>
      </c>
      <c r="J11" s="14">
        <v>0.13</v>
      </c>
    </row>
    <row r="12" spans="1:12" x14ac:dyDescent="0.35">
      <c r="C12" s="1" t="s">
        <v>14</v>
      </c>
      <c r="D12" s="1">
        <v>5</v>
      </c>
      <c r="F12" s="1" t="s">
        <v>14</v>
      </c>
      <c r="G12" s="1">
        <v>5</v>
      </c>
      <c r="I12" s="12" t="s">
        <v>14</v>
      </c>
      <c r="J12" s="13">
        <v>15</v>
      </c>
    </row>
    <row r="13" spans="1:12" ht="15" thickBot="1" x14ac:dyDescent="0.4">
      <c r="C13" s="1" t="s">
        <v>12</v>
      </c>
      <c r="D13" s="3">
        <f>FV(D11,D12,0,D10)</f>
        <v>-921217.5896499994</v>
      </c>
      <c r="F13" s="1" t="s">
        <v>17</v>
      </c>
      <c r="G13" s="8">
        <f>PMT(G11/12,G12*12,0,G10)</f>
        <v>-5959.8698554453449</v>
      </c>
      <c r="H13" s="7"/>
      <c r="I13" s="15" t="s">
        <v>12</v>
      </c>
      <c r="J13" s="18">
        <f>PV(J11/12,J12*12,J10)</f>
        <v>-790362.52968916274</v>
      </c>
    </row>
    <row r="15" spans="1:12" x14ac:dyDescent="0.35">
      <c r="C15" s="40" t="s">
        <v>23</v>
      </c>
      <c r="D15" s="40"/>
      <c r="F15" s="40" t="s">
        <v>26</v>
      </c>
      <c r="G15" s="40"/>
      <c r="I15" s="40" t="s">
        <v>28</v>
      </c>
      <c r="J15" s="40"/>
    </row>
    <row r="16" spans="1:12" x14ac:dyDescent="0.35">
      <c r="C16" s="1" t="s">
        <v>17</v>
      </c>
      <c r="D16" s="1">
        <v>-10000</v>
      </c>
      <c r="F16" s="1" t="s">
        <v>17</v>
      </c>
      <c r="G16" s="1">
        <v>-5000</v>
      </c>
      <c r="I16" s="1" t="s">
        <v>29</v>
      </c>
      <c r="J16" s="1">
        <v>800000</v>
      </c>
    </row>
    <row r="17" spans="3:15" x14ac:dyDescent="0.35">
      <c r="C17" s="9" t="s">
        <v>13</v>
      </c>
      <c r="D17" s="2">
        <v>0.13</v>
      </c>
      <c r="F17" s="1" t="s">
        <v>27</v>
      </c>
      <c r="G17" s="1">
        <v>5</v>
      </c>
      <c r="I17" s="1" t="s">
        <v>13</v>
      </c>
      <c r="J17" s="2">
        <v>0.11</v>
      </c>
      <c r="M17" s="1"/>
    </row>
    <row r="18" spans="3:15" x14ac:dyDescent="0.35">
      <c r="C18" s="9" t="s">
        <v>24</v>
      </c>
      <c r="D18" s="1">
        <v>780000</v>
      </c>
      <c r="F18" s="1" t="s">
        <v>24</v>
      </c>
      <c r="G18" s="1">
        <v>780000</v>
      </c>
      <c r="I18" s="1" t="s">
        <v>14</v>
      </c>
      <c r="J18" s="1">
        <v>10</v>
      </c>
    </row>
    <row r="19" spans="3:15" x14ac:dyDescent="0.35">
      <c r="C19" s="1" t="s">
        <v>25</v>
      </c>
      <c r="D19" s="10">
        <f>NPER(D17/12,D16,0,D18)/12</f>
        <v>4.7368531976949697</v>
      </c>
      <c r="F19" s="1" t="s">
        <v>26</v>
      </c>
      <c r="G19" s="10">
        <f>RATE(G11*12,G16,0,G18)*12</f>
        <v>98930.233764738194</v>
      </c>
      <c r="I19" s="1" t="s">
        <v>28</v>
      </c>
      <c r="J19" s="19">
        <f>PMT(J17/12,J18*12,J16)</f>
        <v>-11020.000903353799</v>
      </c>
    </row>
    <row r="20" spans="3:15" ht="15" thickBot="1" x14ac:dyDescent="0.4"/>
    <row r="21" spans="3:15" x14ac:dyDescent="0.35">
      <c r="C21" s="20" t="s">
        <v>30</v>
      </c>
      <c r="D21" s="21" t="s">
        <v>28</v>
      </c>
      <c r="E21" s="21" t="s">
        <v>31</v>
      </c>
      <c r="F21" s="21" t="s">
        <v>32</v>
      </c>
      <c r="G21" s="22" t="s">
        <v>33</v>
      </c>
      <c r="I21" s="26"/>
      <c r="M21" s="43" t="s">
        <v>40</v>
      </c>
      <c r="N21" s="43"/>
      <c r="O21" s="43"/>
    </row>
    <row r="22" spans="3:15" x14ac:dyDescent="0.35">
      <c r="C22" s="12">
        <v>0</v>
      </c>
      <c r="D22" s="1"/>
      <c r="E22" s="1"/>
      <c r="F22" s="1"/>
      <c r="G22" s="13">
        <v>800000</v>
      </c>
      <c r="I22" s="42" t="s">
        <v>35</v>
      </c>
      <c r="J22" s="42"/>
      <c r="M22" s="1" t="s">
        <v>36</v>
      </c>
      <c r="N22" s="2">
        <v>0.06</v>
      </c>
      <c r="O22" s="1"/>
    </row>
    <row r="23" spans="3:15" x14ac:dyDescent="0.35">
      <c r="C23" s="12">
        <v>1</v>
      </c>
      <c r="D23" s="19">
        <f>PMT($J$17/12,$J$18*12,$J$16)</f>
        <v>-11020.000903353799</v>
      </c>
      <c r="E23" s="19">
        <f>IPMT($J$17/12,C23,$J$18*12,$J$16)</f>
        <v>-7333.333333333333</v>
      </c>
      <c r="F23" s="19">
        <f>PPMT($J$17/12,C23,$J$18*12,$J$16)</f>
        <v>-3686.6675700204664</v>
      </c>
      <c r="G23" s="23">
        <f>G22+F23</f>
        <v>796313.33242997958</v>
      </c>
      <c r="I23" s="1" t="s">
        <v>36</v>
      </c>
      <c r="J23" s="2">
        <v>0.06</v>
      </c>
      <c r="K23" s="1"/>
      <c r="M23" s="28" t="s">
        <v>39</v>
      </c>
      <c r="N23" s="28" t="s">
        <v>38</v>
      </c>
      <c r="O23" s="28" t="s">
        <v>37</v>
      </c>
    </row>
    <row r="24" spans="3:15" x14ac:dyDescent="0.35">
      <c r="C24" s="12">
        <v>2</v>
      </c>
      <c r="D24" s="19">
        <f t="shared" ref="D24:D32" si="0">PMT($J$17/12,$J$18*12,$J$16)</f>
        <v>-11020.000903353799</v>
      </c>
      <c r="E24" s="19">
        <f t="shared" ref="E24:E32" si="1">IPMT($J$17/12,C24,$J$18*12,$J$16)</f>
        <v>-7299.5388806081464</v>
      </c>
      <c r="F24" s="19">
        <f t="shared" ref="F24:F32" si="2">PPMT($J$17/12,C24,$J$18*12,$J$16)</f>
        <v>-3720.4620227456539</v>
      </c>
      <c r="G24" s="23">
        <f t="shared" ref="G24:G32" si="3">G23+F24</f>
        <v>792592.87040723395</v>
      </c>
      <c r="I24" s="28" t="s">
        <v>14</v>
      </c>
      <c r="J24" s="28" t="s">
        <v>38</v>
      </c>
      <c r="K24" s="28" t="s">
        <v>37</v>
      </c>
      <c r="M24" s="27">
        <v>45238</v>
      </c>
      <c r="N24" s="1">
        <v>-100000</v>
      </c>
      <c r="O24" s="1">
        <v>-100000</v>
      </c>
    </row>
    <row r="25" spans="3:15" x14ac:dyDescent="0.35">
      <c r="C25" s="12">
        <v>3</v>
      </c>
      <c r="D25" s="19">
        <f t="shared" si="0"/>
        <v>-11020.000903353799</v>
      </c>
      <c r="E25" s="19">
        <f t="shared" si="1"/>
        <v>-7265.4346453996432</v>
      </c>
      <c r="F25" s="19">
        <f t="shared" si="2"/>
        <v>-3754.5662579541563</v>
      </c>
      <c r="G25" s="23">
        <f t="shared" si="3"/>
        <v>788838.30414927984</v>
      </c>
      <c r="I25" s="1">
        <v>1</v>
      </c>
      <c r="J25" s="1">
        <v>-100000</v>
      </c>
      <c r="K25" s="1">
        <v>-100000</v>
      </c>
      <c r="M25" s="27">
        <v>45291</v>
      </c>
      <c r="N25" s="1">
        <v>20000</v>
      </c>
      <c r="O25" s="1">
        <v>18000</v>
      </c>
    </row>
    <row r="26" spans="3:15" x14ac:dyDescent="0.35">
      <c r="C26" s="12">
        <v>4</v>
      </c>
      <c r="D26" s="19">
        <f t="shared" si="0"/>
        <v>-11020.000903353799</v>
      </c>
      <c r="E26" s="19">
        <f t="shared" si="1"/>
        <v>-7231.0177880350629</v>
      </c>
      <c r="F26" s="19">
        <f t="shared" si="2"/>
        <v>-3788.9831153187356</v>
      </c>
      <c r="G26" s="23">
        <f t="shared" si="3"/>
        <v>785049.32103396114</v>
      </c>
      <c r="I26" s="1">
        <v>2</v>
      </c>
      <c r="J26" s="1">
        <v>20000</v>
      </c>
      <c r="K26" s="1">
        <v>18000</v>
      </c>
      <c r="M26" s="27">
        <v>45381</v>
      </c>
      <c r="N26" s="1">
        <v>0</v>
      </c>
      <c r="O26" s="1">
        <v>18000</v>
      </c>
    </row>
    <row r="27" spans="3:15" x14ac:dyDescent="0.35">
      <c r="C27" s="12">
        <v>5</v>
      </c>
      <c r="D27" s="19">
        <f t="shared" si="0"/>
        <v>-11020.000903353799</v>
      </c>
      <c r="E27" s="19">
        <f t="shared" si="1"/>
        <v>-7196.2854428113087</v>
      </c>
      <c r="F27" s="19">
        <f t="shared" si="2"/>
        <v>-3823.7154605424907</v>
      </c>
      <c r="G27" s="23">
        <f t="shared" si="3"/>
        <v>781225.60557341867</v>
      </c>
      <c r="I27" s="1">
        <v>3</v>
      </c>
      <c r="J27" s="1">
        <v>0</v>
      </c>
      <c r="K27" s="1">
        <v>18000</v>
      </c>
      <c r="M27" s="27">
        <v>45612</v>
      </c>
      <c r="N27" s="1">
        <v>30000</v>
      </c>
      <c r="O27" s="1">
        <v>18000</v>
      </c>
    </row>
    <row r="28" spans="3:15" x14ac:dyDescent="0.35">
      <c r="C28" s="12">
        <v>6</v>
      </c>
      <c r="D28" s="19">
        <f t="shared" si="0"/>
        <v>-11020.000903353799</v>
      </c>
      <c r="E28" s="19">
        <f t="shared" si="1"/>
        <v>-7161.2347177563361</v>
      </c>
      <c r="F28" s="19">
        <f t="shared" si="2"/>
        <v>-3858.7661855974634</v>
      </c>
      <c r="G28" s="23">
        <f t="shared" si="3"/>
        <v>777366.83938782115</v>
      </c>
      <c r="I28" s="1">
        <v>4</v>
      </c>
      <c r="J28" s="1">
        <v>30000</v>
      </c>
      <c r="K28" s="1">
        <v>18000</v>
      </c>
      <c r="M28" s="27">
        <v>45658</v>
      </c>
      <c r="N28" s="1">
        <v>-20000</v>
      </c>
      <c r="O28" s="1">
        <v>18000</v>
      </c>
    </row>
    <row r="29" spans="3:15" x14ac:dyDescent="0.35">
      <c r="C29" s="12">
        <v>7</v>
      </c>
      <c r="D29" s="19">
        <f t="shared" si="0"/>
        <v>-11020.000903353799</v>
      </c>
      <c r="E29" s="19">
        <f t="shared" si="1"/>
        <v>-7125.8626943883592</v>
      </c>
      <c r="F29" s="19">
        <f t="shared" si="2"/>
        <v>-3894.1382089654403</v>
      </c>
      <c r="G29" s="23">
        <f t="shared" si="3"/>
        <v>773472.70117885573</v>
      </c>
      <c r="I29" s="1">
        <v>5</v>
      </c>
      <c r="J29" s="1">
        <v>-20000</v>
      </c>
      <c r="K29" s="1">
        <v>18000</v>
      </c>
      <c r="M29" s="27">
        <v>46356</v>
      </c>
      <c r="N29" s="1">
        <v>30000</v>
      </c>
      <c r="O29" s="1">
        <v>18000</v>
      </c>
    </row>
    <row r="30" spans="3:15" x14ac:dyDescent="0.35">
      <c r="C30" s="12">
        <v>8</v>
      </c>
      <c r="D30" s="19">
        <f t="shared" si="0"/>
        <v>-11020.000903353799</v>
      </c>
      <c r="E30" s="19">
        <f t="shared" si="1"/>
        <v>-7090.1664274728419</v>
      </c>
      <c r="F30" s="19">
        <f t="shared" si="2"/>
        <v>-3929.8344758809571</v>
      </c>
      <c r="G30" s="23">
        <f t="shared" si="3"/>
        <v>769542.86670297477</v>
      </c>
      <c r="I30" s="1">
        <v>6</v>
      </c>
      <c r="J30" s="1">
        <v>30000</v>
      </c>
      <c r="K30" s="1">
        <v>18000</v>
      </c>
      <c r="M30" s="27">
        <v>46611</v>
      </c>
      <c r="N30" s="1">
        <v>45000</v>
      </c>
      <c r="O30" s="1">
        <v>18000</v>
      </c>
    </row>
    <row r="31" spans="3:15" x14ac:dyDescent="0.35">
      <c r="C31" s="12">
        <v>9</v>
      </c>
      <c r="D31" s="19">
        <f t="shared" si="0"/>
        <v>-11020.000903353799</v>
      </c>
      <c r="E31" s="19">
        <f t="shared" si="1"/>
        <v>-7054.142944777268</v>
      </c>
      <c r="F31" s="19">
        <f t="shared" si="2"/>
        <v>-3965.8579585765328</v>
      </c>
      <c r="G31" s="23">
        <f t="shared" si="3"/>
        <v>765577.00874439825</v>
      </c>
      <c r="I31" s="1">
        <v>7</v>
      </c>
      <c r="J31" s="1">
        <v>45000</v>
      </c>
      <c r="K31" s="1">
        <v>18000</v>
      </c>
      <c r="M31" s="27">
        <v>46752</v>
      </c>
      <c r="N31" s="1">
        <v>50000</v>
      </c>
      <c r="O31" s="1">
        <v>18000</v>
      </c>
    </row>
    <row r="32" spans="3:15" ht="15" thickBot="1" x14ac:dyDescent="0.4">
      <c r="C32" s="15">
        <v>10</v>
      </c>
      <c r="D32" s="24">
        <f t="shared" si="0"/>
        <v>-11020.000903353799</v>
      </c>
      <c r="E32" s="24">
        <f t="shared" si="1"/>
        <v>-7017.7892468236496</v>
      </c>
      <c r="F32" s="24">
        <f t="shared" si="2"/>
        <v>-4002.2116565301508</v>
      </c>
      <c r="G32" s="25">
        <f t="shared" si="3"/>
        <v>761574.79708786809</v>
      </c>
      <c r="I32" s="1">
        <v>8</v>
      </c>
      <c r="J32" s="1">
        <v>50000</v>
      </c>
      <c r="K32" s="1">
        <v>18000</v>
      </c>
      <c r="M32" s="29" t="s">
        <v>41</v>
      </c>
      <c r="N32" s="30">
        <f>XNPV(N22,N24:N31,M24:M31)</f>
        <v>29893.481403004043</v>
      </c>
      <c r="O32" s="29">
        <f>XNPV(N22,O24:O31,M24:M31)</f>
        <v>12881.672832842505</v>
      </c>
    </row>
    <row r="33" spans="3:15" x14ac:dyDescent="0.35">
      <c r="I33" s="32" t="s">
        <v>34</v>
      </c>
      <c r="J33" s="33">
        <f>NPV(J23,J25:J32)</f>
        <v>14724.957491881574</v>
      </c>
      <c r="K33" s="33">
        <f>NPV(J23,K25:K32)</f>
        <v>455.53388047081785</v>
      </c>
      <c r="M33" s="29" t="s">
        <v>42</v>
      </c>
      <c r="N33" s="31">
        <f>XIRR(N24:N31,M24:M31,)</f>
        <v>0.16119517683982856</v>
      </c>
      <c r="O33" s="31">
        <f>XIRR(O24:O31,M24:M31)</f>
        <v>0.13640791773796082</v>
      </c>
    </row>
    <row r="34" spans="3:15" x14ac:dyDescent="0.35">
      <c r="I34" s="32" t="s">
        <v>43</v>
      </c>
      <c r="J34" s="34">
        <v>0.09</v>
      </c>
      <c r="K34" s="34">
        <f>IRR(J25:K32)</f>
        <v>3.8942217841274607E-2</v>
      </c>
    </row>
    <row r="38" spans="3:15" x14ac:dyDescent="0.35">
      <c r="C38" s="44" t="s">
        <v>44</v>
      </c>
      <c r="D38" s="44"/>
      <c r="E38" s="36"/>
      <c r="F38" s="44" t="s">
        <v>49</v>
      </c>
      <c r="G38" s="44"/>
      <c r="H38" s="32" t="s">
        <v>50</v>
      </c>
      <c r="I38" s="32" t="s">
        <v>51</v>
      </c>
      <c r="J38" s="35" t="s">
        <v>52</v>
      </c>
      <c r="L38" s="44" t="s">
        <v>53</v>
      </c>
      <c r="M38" s="44"/>
    </row>
    <row r="39" spans="3:15" x14ac:dyDescent="0.35">
      <c r="C39" s="1" t="s">
        <v>45</v>
      </c>
      <c r="D39" s="1">
        <v>130000</v>
      </c>
      <c r="F39" s="1">
        <v>1</v>
      </c>
      <c r="G39" s="19">
        <f>DB($D$39,$D$40*$D$39,$D$41,F39)</f>
        <v>18460</v>
      </c>
      <c r="H39" s="19">
        <f>$D$39-SUM($G$39:G39)</f>
        <v>111540</v>
      </c>
      <c r="I39" s="19">
        <f>$D$39-$D$42*F39</f>
        <v>122200</v>
      </c>
      <c r="J39" s="19">
        <f>SYD($D$39,$D$39*$D$40,$D$41,F39)</f>
        <v>14625</v>
      </c>
      <c r="L39" s="1" t="s">
        <v>54</v>
      </c>
      <c r="M39" s="2">
        <v>0.01</v>
      </c>
    </row>
    <row r="40" spans="3:15" x14ac:dyDescent="0.35">
      <c r="C40" s="1" t="s">
        <v>46</v>
      </c>
      <c r="D40" s="2">
        <v>0.1</v>
      </c>
      <c r="F40" s="1">
        <v>2</v>
      </c>
      <c r="G40" s="19">
        <f t="shared" ref="G40:G51" si="4">DB($D$39,$D$40*$D$39,$D$41,F40)</f>
        <v>15838.679999999998</v>
      </c>
      <c r="H40" s="19">
        <f>$D$39-SUM($G$39:G40)</f>
        <v>95701.32</v>
      </c>
      <c r="I40" s="19">
        <f t="shared" ref="I40:I51" si="5">$D$39-$D$42*F40</f>
        <v>114400</v>
      </c>
      <c r="J40" s="19">
        <f t="shared" ref="J40:J51" si="6">SYD($D$39,$D$39*$D$40,$D$41,F40)</f>
        <v>13650</v>
      </c>
      <c r="L40" s="1" t="s">
        <v>55</v>
      </c>
      <c r="M40" s="1">
        <v>12</v>
      </c>
    </row>
    <row r="41" spans="3:15" x14ac:dyDescent="0.35">
      <c r="C41" s="1" t="s">
        <v>47</v>
      </c>
      <c r="D41" s="1">
        <v>15</v>
      </c>
      <c r="F41" s="1">
        <v>3</v>
      </c>
      <c r="G41" s="19">
        <f t="shared" si="4"/>
        <v>13589.587439999999</v>
      </c>
      <c r="H41" s="19">
        <f>$D$39-SUM($G$39:G41)</f>
        <v>82111.732560000004</v>
      </c>
      <c r="I41" s="19">
        <f t="shared" si="5"/>
        <v>106600</v>
      </c>
      <c r="J41" s="19">
        <f t="shared" si="6"/>
        <v>12675</v>
      </c>
      <c r="L41" s="1" t="s">
        <v>56</v>
      </c>
      <c r="M41" s="37">
        <f>EFFECT(M39,M40)</f>
        <v>1.0045960887180572E-2</v>
      </c>
    </row>
    <row r="42" spans="3:15" x14ac:dyDescent="0.35">
      <c r="C42" s="1" t="s">
        <v>48</v>
      </c>
      <c r="D42" s="19">
        <f>SLN(D39,D40*D39,D41)</f>
        <v>7800</v>
      </c>
      <c r="F42" s="1">
        <v>4</v>
      </c>
      <c r="G42" s="19">
        <f t="shared" si="4"/>
        <v>11659.866023519999</v>
      </c>
      <c r="H42" s="19">
        <f>$D$39-SUM($G$39:G42)</f>
        <v>70451.866536479996</v>
      </c>
      <c r="I42" s="19">
        <f t="shared" si="5"/>
        <v>98800</v>
      </c>
      <c r="J42" s="19">
        <f t="shared" si="6"/>
        <v>11700</v>
      </c>
    </row>
    <row r="43" spans="3:15" x14ac:dyDescent="0.35">
      <c r="F43" s="1">
        <v>5</v>
      </c>
      <c r="G43" s="19">
        <f t="shared" si="4"/>
        <v>10004.165048180161</v>
      </c>
      <c r="H43" s="19">
        <f>$D$39-SUM($G$39:G43)</f>
        <v>60447.701488299848</v>
      </c>
      <c r="I43" s="19">
        <f t="shared" si="5"/>
        <v>91000</v>
      </c>
      <c r="J43" s="19">
        <f t="shared" si="6"/>
        <v>10725</v>
      </c>
    </row>
    <row r="44" spans="3:15" x14ac:dyDescent="0.35">
      <c r="F44" s="1">
        <v>6</v>
      </c>
      <c r="G44" s="19">
        <f t="shared" si="4"/>
        <v>8583.5736113385774</v>
      </c>
      <c r="H44" s="19">
        <f>$D$39-SUM($G$39:G44)</f>
        <v>51864.127876961269</v>
      </c>
      <c r="I44" s="19">
        <f t="shared" si="5"/>
        <v>83200</v>
      </c>
      <c r="J44" s="19">
        <f t="shared" si="6"/>
        <v>9750</v>
      </c>
    </row>
    <row r="45" spans="3:15" x14ac:dyDescent="0.35">
      <c r="F45" s="1">
        <v>7</v>
      </c>
      <c r="G45" s="19">
        <f t="shared" si="4"/>
        <v>7364.7061585284991</v>
      </c>
      <c r="H45" s="19">
        <f>$D$39-SUM($G$39:G45)</f>
        <v>44499.421718432772</v>
      </c>
      <c r="I45" s="19">
        <f t="shared" si="5"/>
        <v>75400</v>
      </c>
      <c r="J45" s="19">
        <f t="shared" si="6"/>
        <v>8775</v>
      </c>
    </row>
    <row r="46" spans="3:15" x14ac:dyDescent="0.35">
      <c r="F46" s="1">
        <v>8</v>
      </c>
      <c r="G46" s="19">
        <f t="shared" si="4"/>
        <v>6318.9178840174527</v>
      </c>
      <c r="H46" s="19">
        <f>$D$39-SUM($G$39:G46)</f>
        <v>38180.503834415314</v>
      </c>
      <c r="I46" s="19">
        <f t="shared" si="5"/>
        <v>67600</v>
      </c>
      <c r="J46" s="19">
        <f t="shared" si="6"/>
        <v>7800</v>
      </c>
    </row>
    <row r="47" spans="3:15" x14ac:dyDescent="0.35">
      <c r="F47" s="1">
        <v>9</v>
      </c>
      <c r="G47" s="19">
        <f t="shared" si="4"/>
        <v>5421.6315444869751</v>
      </c>
      <c r="H47" s="19">
        <f>$D$39-SUM($G$39:G47)</f>
        <v>32758.872289928346</v>
      </c>
      <c r="I47" s="19">
        <f t="shared" si="5"/>
        <v>59800</v>
      </c>
      <c r="J47" s="19">
        <f t="shared" si="6"/>
        <v>6825</v>
      </c>
    </row>
    <row r="48" spans="3:15" x14ac:dyDescent="0.35">
      <c r="F48" s="1">
        <v>10</v>
      </c>
      <c r="G48" s="19">
        <f t="shared" si="4"/>
        <v>4651.7598651698245</v>
      </c>
      <c r="H48" s="19">
        <f>$D$39-SUM($G$39:G48)</f>
        <v>28107.112424758525</v>
      </c>
      <c r="I48" s="19">
        <f t="shared" si="5"/>
        <v>52000</v>
      </c>
      <c r="J48" s="19">
        <f t="shared" si="6"/>
        <v>5850</v>
      </c>
    </row>
    <row r="49" spans="6:10" x14ac:dyDescent="0.35">
      <c r="F49" s="1">
        <v>11</v>
      </c>
      <c r="G49" s="19">
        <f t="shared" si="4"/>
        <v>3991.2099643157098</v>
      </c>
      <c r="H49" s="19">
        <f>$D$39-SUM($G$39:G49)</f>
        <v>24115.902460442812</v>
      </c>
      <c r="I49" s="19">
        <f t="shared" si="5"/>
        <v>44200</v>
      </c>
      <c r="J49" s="19">
        <f t="shared" si="6"/>
        <v>4875</v>
      </c>
    </row>
    <row r="50" spans="6:10" x14ac:dyDescent="0.35">
      <c r="F50" s="1">
        <v>12</v>
      </c>
      <c r="G50" s="19">
        <f t="shared" si="4"/>
        <v>3424.4581493828791</v>
      </c>
      <c r="H50" s="19">
        <f>$D$39-SUM($G$39:G50)</f>
        <v>20691.444311059939</v>
      </c>
      <c r="I50" s="19">
        <f t="shared" si="5"/>
        <v>36400</v>
      </c>
      <c r="J50" s="19">
        <f t="shared" si="6"/>
        <v>3900</v>
      </c>
    </row>
    <row r="51" spans="6:10" x14ac:dyDescent="0.35">
      <c r="F51" s="1">
        <v>13</v>
      </c>
      <c r="G51" s="19">
        <f t="shared" si="4"/>
        <v>2938.18509217051</v>
      </c>
      <c r="H51" s="19">
        <f>$D$39-SUM($G$39:G51)</f>
        <v>17753.259218889434</v>
      </c>
      <c r="I51" s="19">
        <f t="shared" si="5"/>
        <v>28600</v>
      </c>
      <c r="J51" s="19">
        <f t="shared" si="6"/>
        <v>2925</v>
      </c>
    </row>
  </sheetData>
  <mergeCells count="13">
    <mergeCell ref="I22:J22"/>
    <mergeCell ref="M21:O21"/>
    <mergeCell ref="C38:D38"/>
    <mergeCell ref="F38:G38"/>
    <mergeCell ref="C15:D15"/>
    <mergeCell ref="F15:G15"/>
    <mergeCell ref="L38:M38"/>
    <mergeCell ref="C3:D3"/>
    <mergeCell ref="I15:J15"/>
    <mergeCell ref="I9:J9"/>
    <mergeCell ref="F3:G3"/>
    <mergeCell ref="C9:D9"/>
    <mergeCell ref="F9:G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0"/>
  <sheetViews>
    <sheetView tabSelected="1" workbookViewId="0">
      <selection activeCell="N10" sqref="N10"/>
    </sheetView>
  </sheetViews>
  <sheetFormatPr defaultRowHeight="14.5" x14ac:dyDescent="0.35"/>
  <cols>
    <col min="3" max="3" width="2.81640625" bestFit="1" customWidth="1"/>
    <col min="4" max="4" width="18.7265625" bestFit="1" customWidth="1"/>
    <col min="5" max="5" width="13" bestFit="1" customWidth="1"/>
    <col min="6" max="6" width="10" bestFit="1" customWidth="1"/>
    <col min="7" max="7" width="10.90625" bestFit="1" customWidth="1"/>
    <col min="9" max="9" width="11.81640625" bestFit="1" customWidth="1"/>
    <col min="10" max="10" width="10.81640625" bestFit="1" customWidth="1"/>
  </cols>
  <sheetData>
    <row r="4" spans="3:12" x14ac:dyDescent="0.35">
      <c r="C4" s="61"/>
      <c r="D4" s="65" t="s">
        <v>83</v>
      </c>
      <c r="E4" s="66"/>
      <c r="F4" s="66"/>
      <c r="G4" s="66"/>
      <c r="H4" s="66"/>
      <c r="I4" s="66"/>
      <c r="J4" s="66"/>
      <c r="K4" s="66"/>
      <c r="L4" s="66"/>
    </row>
    <row r="5" spans="3:12" x14ac:dyDescent="0.35">
      <c r="C5" s="61"/>
      <c r="D5" s="66"/>
      <c r="E5" s="66"/>
      <c r="F5" s="66"/>
      <c r="G5" s="66"/>
      <c r="H5" s="66"/>
      <c r="I5" s="66"/>
      <c r="J5" s="66"/>
      <c r="K5" s="66"/>
      <c r="L5" s="66"/>
    </row>
    <row r="6" spans="3:12" x14ac:dyDescent="0.35">
      <c r="C6" s="61"/>
      <c r="D6" s="47"/>
      <c r="E6" s="47"/>
      <c r="F6" s="60"/>
      <c r="G6" s="47"/>
      <c r="H6" s="47"/>
      <c r="I6" s="60"/>
      <c r="J6" s="47"/>
      <c r="K6" s="47"/>
      <c r="L6" s="47"/>
    </row>
    <row r="7" spans="3:12" x14ac:dyDescent="0.35">
      <c r="C7" s="61"/>
      <c r="D7" s="55" t="s">
        <v>57</v>
      </c>
      <c r="E7" s="57">
        <v>1000000</v>
      </c>
      <c r="F7" s="60"/>
      <c r="G7" s="54" t="s">
        <v>58</v>
      </c>
      <c r="H7" s="54">
        <v>0.81508099287659663</v>
      </c>
      <c r="I7" s="60"/>
      <c r="J7" s="56" t="s">
        <v>59</v>
      </c>
      <c r="K7" s="56">
        <v>14.615723980656448</v>
      </c>
      <c r="L7" s="54"/>
    </row>
    <row r="8" spans="3:12" x14ac:dyDescent="0.35">
      <c r="C8" s="61"/>
      <c r="D8" s="49" t="s">
        <v>60</v>
      </c>
      <c r="E8" s="49" t="s">
        <v>61</v>
      </c>
      <c r="F8" s="60"/>
      <c r="G8" s="54" t="s">
        <v>62</v>
      </c>
      <c r="H8" s="54">
        <v>38.135218850254169</v>
      </c>
      <c r="I8" s="60"/>
      <c r="J8" s="47"/>
      <c r="K8" s="47"/>
      <c r="L8" s="47"/>
    </row>
    <row r="9" spans="3:12" x14ac:dyDescent="0.35">
      <c r="C9" s="61"/>
      <c r="D9" s="55" t="s">
        <v>63</v>
      </c>
      <c r="E9" s="55" t="s">
        <v>64</v>
      </c>
      <c r="F9" s="55" t="s">
        <v>65</v>
      </c>
      <c r="G9" s="55" t="s">
        <v>66</v>
      </c>
      <c r="H9" s="55" t="s">
        <v>67</v>
      </c>
      <c r="I9" s="56" t="s">
        <v>68</v>
      </c>
      <c r="J9" s="56" t="s">
        <v>69</v>
      </c>
      <c r="K9" s="56" t="s">
        <v>70</v>
      </c>
      <c r="L9" s="56" t="s">
        <v>71</v>
      </c>
    </row>
    <row r="10" spans="3:12" x14ac:dyDescent="0.35">
      <c r="C10" s="47">
        <v>1</v>
      </c>
      <c r="D10" s="59" t="s">
        <v>72</v>
      </c>
      <c r="E10" s="50">
        <v>1109.5</v>
      </c>
      <c r="F10" s="48">
        <v>24.32</v>
      </c>
      <c r="G10" s="48">
        <v>4.1900000000000004</v>
      </c>
      <c r="H10" s="48">
        <v>1.19</v>
      </c>
      <c r="I10" s="48">
        <v>0.17228618421052633</v>
      </c>
      <c r="J10" s="51">
        <v>6.3769497619563478E-2</v>
      </c>
      <c r="K10" s="52">
        <v>63769.497619563481</v>
      </c>
      <c r="L10" s="48">
        <v>57</v>
      </c>
    </row>
    <row r="11" spans="3:12" x14ac:dyDescent="0.35">
      <c r="C11" s="47">
        <v>2</v>
      </c>
      <c r="D11" s="59" t="s">
        <v>73</v>
      </c>
      <c r="E11" s="50">
        <v>6811.5</v>
      </c>
      <c r="F11" s="48">
        <v>84.03</v>
      </c>
      <c r="G11" s="48">
        <v>13.06</v>
      </c>
      <c r="H11" s="48">
        <v>1.02</v>
      </c>
      <c r="I11" s="48">
        <v>0.15542068308937285</v>
      </c>
      <c r="J11" s="51">
        <v>5.7526951018821999E-2</v>
      </c>
      <c r="K11" s="52">
        <v>57526.951018822001</v>
      </c>
      <c r="L11" s="48">
        <v>8</v>
      </c>
    </row>
    <row r="12" spans="3:12" x14ac:dyDescent="0.35">
      <c r="C12" s="47">
        <v>3</v>
      </c>
      <c r="D12" s="59" t="s">
        <v>74</v>
      </c>
      <c r="E12" s="50">
        <v>2280</v>
      </c>
      <c r="F12" s="48">
        <v>47.77</v>
      </c>
      <c r="G12" s="48">
        <v>12.14</v>
      </c>
      <c r="H12" s="48">
        <v>0.73</v>
      </c>
      <c r="I12" s="48">
        <v>0.25413439397111159</v>
      </c>
      <c r="J12" s="51">
        <v>9.4064551407017902E-2</v>
      </c>
      <c r="K12" s="52">
        <v>94064.551407017905</v>
      </c>
      <c r="L12" s="48">
        <v>41</v>
      </c>
    </row>
    <row r="13" spans="3:12" x14ac:dyDescent="0.35">
      <c r="C13" s="47">
        <v>4</v>
      </c>
      <c r="D13" s="59" t="s">
        <v>75</v>
      </c>
      <c r="E13" s="50">
        <v>956.35</v>
      </c>
      <c r="F13" s="48">
        <v>10.44</v>
      </c>
      <c r="G13" s="48">
        <v>1.73</v>
      </c>
      <c r="H13" s="48">
        <v>1.51</v>
      </c>
      <c r="I13" s="48">
        <v>0.16570881226053641</v>
      </c>
      <c r="J13" s="51">
        <v>6.1334968659334535E-2</v>
      </c>
      <c r="K13" s="52">
        <v>61334.968659334532</v>
      </c>
      <c r="L13" s="48">
        <v>64</v>
      </c>
    </row>
    <row r="14" spans="3:12" x14ac:dyDescent="0.35">
      <c r="C14" s="47">
        <v>5</v>
      </c>
      <c r="D14" s="59" t="s">
        <v>76</v>
      </c>
      <c r="E14" s="50">
        <v>8465.5</v>
      </c>
      <c r="F14" s="48">
        <v>31.13</v>
      </c>
      <c r="G14" s="48">
        <v>7.64</v>
      </c>
      <c r="H14" s="48">
        <v>1.1100000000000001</v>
      </c>
      <c r="I14" s="48">
        <v>0.24542242210086732</v>
      </c>
      <c r="J14" s="51">
        <v>9.0839927958614286E-2</v>
      </c>
      <c r="K14" s="52">
        <v>90839.92795861428</v>
      </c>
      <c r="L14" s="48">
        <v>11</v>
      </c>
    </row>
    <row r="15" spans="3:12" x14ac:dyDescent="0.35">
      <c r="C15" s="47">
        <v>6</v>
      </c>
      <c r="D15" s="59" t="s">
        <v>77</v>
      </c>
      <c r="E15" s="50">
        <v>1648.75</v>
      </c>
      <c r="F15" s="48">
        <v>76.92</v>
      </c>
      <c r="G15" s="48">
        <v>10.97</v>
      </c>
      <c r="H15" s="48">
        <v>0.61</v>
      </c>
      <c r="I15" s="48">
        <v>0.14261570462818512</v>
      </c>
      <c r="J15" s="51">
        <v>5.2787354241279685E-2</v>
      </c>
      <c r="K15" s="52">
        <v>52787.354241279689</v>
      </c>
      <c r="L15" s="48">
        <v>32</v>
      </c>
    </row>
    <row r="16" spans="3:12" x14ac:dyDescent="0.35">
      <c r="C16" s="47">
        <v>7</v>
      </c>
      <c r="D16" s="59" t="s">
        <v>78</v>
      </c>
      <c r="E16" s="50">
        <v>5080.25</v>
      </c>
      <c r="F16" s="48">
        <v>56.65</v>
      </c>
      <c r="G16" s="48">
        <v>38.020000000000003</v>
      </c>
      <c r="H16" s="48">
        <v>0.63</v>
      </c>
      <c r="I16" s="48">
        <v>0.6711385701676964</v>
      </c>
      <c r="J16" s="51">
        <v>0.24841324131021805</v>
      </c>
      <c r="K16" s="52">
        <v>248413.24131021806</v>
      </c>
      <c r="L16" s="48">
        <v>49</v>
      </c>
    </row>
    <row r="17" spans="3:12" x14ac:dyDescent="0.35">
      <c r="C17" s="47">
        <v>8</v>
      </c>
      <c r="D17" s="59" t="s">
        <v>79</v>
      </c>
      <c r="E17" s="50">
        <v>1440</v>
      </c>
      <c r="F17" s="48">
        <v>26.18</v>
      </c>
      <c r="G17" s="48">
        <v>4.1100000000000003</v>
      </c>
      <c r="H17" s="48">
        <v>0.45</v>
      </c>
      <c r="I17" s="48">
        <v>0.15699006875477464</v>
      </c>
      <c r="J17" s="51">
        <v>5.810783877782956E-2</v>
      </c>
      <c r="K17" s="52">
        <v>58107.838777829558</v>
      </c>
      <c r="L17" s="48">
        <v>40</v>
      </c>
    </row>
    <row r="18" spans="3:12" x14ac:dyDescent="0.35">
      <c r="C18" s="47">
        <v>9</v>
      </c>
      <c r="D18" s="59" t="s">
        <v>80</v>
      </c>
      <c r="E18" s="50">
        <v>386.15</v>
      </c>
      <c r="F18" s="48">
        <v>5.81</v>
      </c>
      <c r="G18" s="48">
        <v>2.48</v>
      </c>
      <c r="H18" s="48">
        <v>0.8</v>
      </c>
      <c r="I18" s="48">
        <v>0.42685025817555938</v>
      </c>
      <c r="J18" s="51">
        <v>0.15799308950608998</v>
      </c>
      <c r="K18" s="52">
        <v>157993.08950608998</v>
      </c>
      <c r="L18" s="48">
        <v>409</v>
      </c>
    </row>
    <row r="19" spans="3:12" x14ac:dyDescent="0.35">
      <c r="C19" s="47">
        <v>10</v>
      </c>
      <c r="D19" s="59" t="s">
        <v>81</v>
      </c>
      <c r="E19" s="50">
        <v>1892</v>
      </c>
      <c r="F19" s="48">
        <v>27.93</v>
      </c>
      <c r="G19" s="48">
        <v>8.69</v>
      </c>
      <c r="H19" s="48">
        <v>0.67</v>
      </c>
      <c r="I19" s="48">
        <v>0.31113498030791265</v>
      </c>
      <c r="J19" s="51">
        <v>0.11516257950123042</v>
      </c>
      <c r="K19" s="52">
        <v>115162.57950123042</v>
      </c>
      <c r="L19" s="48">
        <v>61</v>
      </c>
    </row>
    <row r="20" spans="3:12" x14ac:dyDescent="0.35">
      <c r="C20" s="47"/>
      <c r="D20" s="46" t="s">
        <v>82</v>
      </c>
      <c r="E20" s="49"/>
      <c r="F20" s="49"/>
      <c r="G20" s="49"/>
      <c r="H20" s="49"/>
      <c r="I20" s="53">
        <v>2.701702077666543</v>
      </c>
      <c r="J20" s="58">
        <v>0.99999999999999989</v>
      </c>
      <c r="K20" s="53">
        <v>999999.99999999988</v>
      </c>
      <c r="L20" s="53">
        <v>772</v>
      </c>
    </row>
  </sheetData>
  <mergeCells count="3">
    <mergeCell ref="I6:I8"/>
    <mergeCell ref="F6:F8"/>
    <mergeCell ref="D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Financial analytics</vt:lpstr>
      <vt:lpstr> Financial formulas</vt:lpstr>
      <vt:lpstr> Portfolio 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whynew</dc:creator>
  <cp:lastModifiedBy>whynew</cp:lastModifiedBy>
  <dcterms:created xsi:type="dcterms:W3CDTF">2025-01-29T04:10:35Z</dcterms:created>
  <dcterms:modified xsi:type="dcterms:W3CDTF">2025-02-19T04:42:01Z</dcterms:modified>
</cp:coreProperties>
</file>