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6EE850E0-765C-4362-9F2A-756A6C621466}" xr6:coauthVersionLast="47" xr6:coauthVersionMax="47" xr10:uidLastSave="{00000000-0000-0000-0000-000000000000}"/>
  <bookViews>
    <workbookView xWindow="-21720" yWindow="660" windowWidth="21840" windowHeight="13020"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4" i="1" l="1"/>
  <c r="N194" i="1" s="1"/>
  <c r="L193" i="1"/>
  <c r="L192" i="1"/>
  <c r="I193" i="1"/>
  <c r="I192" i="1"/>
  <c r="I191" i="1"/>
  <c r="C24" i="12"/>
  <c r="D24" i="12" s="1"/>
  <c r="B24" i="12"/>
  <c r="O194" i="1" l="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D29" i="12" s="1"/>
  <c r="B29" i="12"/>
  <c r="B25" i="12"/>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C25" i="12"/>
  <c r="T52" i="4" s="1"/>
  <c r="AC52" i="4" s="1"/>
  <c r="AC41" i="4"/>
  <c r="AC47" i="4"/>
  <c r="AB47" i="4"/>
  <c r="AB49" i="4"/>
  <c r="U53" i="4"/>
  <c r="U52" i="4"/>
  <c r="U51" i="4"/>
  <c r="U50" i="4"/>
  <c r="S53" i="4"/>
  <c r="AB53" i="4" s="1"/>
  <c r="S52" i="4"/>
  <c r="AB52" i="4" s="1"/>
  <c r="S51" i="4"/>
  <c r="AB51" i="4" s="1"/>
  <c r="D18" i="12"/>
  <c r="D17" i="12"/>
  <c r="S50" i="4"/>
  <c r="AB50" i="4" s="1"/>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T53" i="4"/>
  <c r="AC53" i="4" s="1"/>
  <c r="T50" i="4"/>
  <c r="AC50" i="4" s="1"/>
  <c r="T51" i="4"/>
  <c r="AC51" i="4" s="1"/>
  <c r="N172" i="1"/>
  <c r="O172" i="1"/>
  <c r="O171" i="1"/>
  <c r="J171" i="1"/>
  <c r="L170" i="1"/>
  <c r="I170" i="1"/>
  <c r="O170" i="1" l="1"/>
  <c r="N170" i="1"/>
  <c r="J170" i="1"/>
  <c r="L169" i="1"/>
  <c r="I169" i="1"/>
  <c r="L168" i="1"/>
  <c r="L167" i="1"/>
  <c r="O169" i="1" l="1"/>
  <c r="J169" i="1"/>
  <c r="N169" i="1"/>
  <c r="I168" i="1"/>
  <c r="I167" i="1"/>
  <c r="N167" i="1" l="1"/>
  <c r="O167" i="1"/>
  <c r="J167" i="1"/>
  <c r="N168" i="1"/>
  <c r="J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5" i="1"/>
  <c r="G195"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5" i="1"/>
  <c r="J41" i="1"/>
  <c r="J195"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5" i="1" l="1"/>
  <c r="O195" i="1"/>
  <c r="D14" i="12"/>
  <c r="M473" i="2"/>
  <c r="M152" i="2"/>
  <c r="N152" i="2"/>
  <c r="N473" i="2" s="1"/>
  <c r="CX30" i="22"/>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<sst xmlns="http://schemas.openxmlformats.org/spreadsheetml/2006/main" count="100850" uniqueCount="6556">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</sst>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96">
      <pivotArea type="all" dataOnly="0" outline="0" fieldPosition="0"/>
    </format>
    <format dxfId="595">
      <pivotArea field="18" type="button" dataOnly="0" labelOnly="1" outline="0" axis="axisRow" fieldPosition="0"/>
    </format>
    <format dxfId="594">
      <pivotArea dataOnly="0" labelOnly="1" outline="0" fieldPosition="0">
        <references count="1">
          <reference field="4294967294" count="2">
            <x v="0"/>
            <x v="1"/>
          </reference>
        </references>
      </pivotArea>
    </format>
    <format dxfId="593">
      <pivotArea type="all" dataOnly="0" outline="0" fieldPosition="0"/>
    </format>
    <format dxfId="592">
      <pivotArea field="18" type="button" dataOnly="0" labelOnly="1" outline="0" axis="axisRow" fieldPosition="0"/>
    </format>
    <format dxfId="591">
      <pivotArea dataOnly="0" labelOnly="1" outline="0" fieldPosition="0">
        <references count="1">
          <reference field="4294967294" count="2">
            <x v="0"/>
            <x v="1"/>
          </reference>
        </references>
      </pivotArea>
    </format>
    <format dxfId="590">
      <pivotArea collapsedLevelsAreSubtotals="1" fieldPosition="0">
        <references count="1">
          <reference field="18" count="1">
            <x v="0"/>
          </reference>
        </references>
      </pivotArea>
    </format>
    <format dxfId="589">
      <pivotArea collapsedLevelsAreSubtotals="1" fieldPosition="0">
        <references count="1">
          <reference field="18" count="1">
            <x v="1"/>
          </reference>
        </references>
      </pivotArea>
    </format>
    <format dxfId="588">
      <pivotArea collapsedLevelsAreSubtotals="1" fieldPosition="0">
        <references count="1">
          <reference field="18" count="1">
            <x v="2"/>
          </reference>
        </references>
      </pivotArea>
    </format>
    <format dxfId="587">
      <pivotArea collapsedLevelsAreSubtotals="1" fieldPosition="0">
        <references count="1">
          <reference field="18" count="1">
            <x v="3"/>
          </reference>
        </references>
      </pivotArea>
    </format>
    <format dxfId="586">
      <pivotArea collapsedLevelsAreSubtotals="1" fieldPosition="0">
        <references count="1">
          <reference field="18" count="1">
            <x v="4"/>
          </reference>
        </references>
      </pivotArea>
    </format>
    <format dxfId="585">
      <pivotArea collapsedLevelsAreSubtotals="1" fieldPosition="0">
        <references count="1">
          <reference field="18" count="1">
            <x v="5"/>
          </reference>
        </references>
      </pivotArea>
    </format>
    <format dxfId="584">
      <pivotArea collapsedLevelsAreSubtotals="1" fieldPosition="0">
        <references count="1">
          <reference field="18" count="1">
            <x v="6"/>
          </reference>
        </references>
      </pivotArea>
    </format>
    <format dxfId="583">
      <pivotArea collapsedLevelsAreSubtotals="1" fieldPosition="0">
        <references count="1">
          <reference field="18" count="1">
            <x v="7"/>
          </reference>
        </references>
      </pivotArea>
    </format>
    <format dxfId="582">
      <pivotArea collapsedLevelsAreSubtotals="1" fieldPosition="0">
        <references count="1">
          <reference field="18" count="1">
            <x v="8"/>
          </reference>
        </references>
      </pivotArea>
    </format>
    <format dxfId="581">
      <pivotArea collapsedLevelsAreSubtotals="1" fieldPosition="0">
        <references count="1">
          <reference field="18" count="1">
            <x v="9"/>
          </reference>
        </references>
      </pivotArea>
    </format>
    <format dxfId="580">
      <pivotArea collapsedLevelsAreSubtotals="1" fieldPosition="0">
        <references count="1">
          <reference field="18" count="1">
            <x v="10"/>
          </reference>
        </references>
      </pivotArea>
    </format>
    <format dxfId="579">
      <pivotArea outline="0" collapsedLevelsAreSubtotals="1" fieldPosition="0">
        <references count="1">
          <reference field="4294967294" count="1" selected="0">
            <x v="1"/>
          </reference>
        </references>
      </pivotArea>
    </format>
    <format dxfId="578">
      <pivotArea collapsedLevelsAreSubtotals="1" fieldPosition="0">
        <references count="2">
          <reference field="4294967294" count="1" selected="0">
            <x v="0"/>
          </reference>
          <reference field="18" count="1">
            <x v="0"/>
          </reference>
        </references>
      </pivotArea>
    </format>
    <format dxfId="577">
      <pivotArea collapsedLevelsAreSubtotals="1" fieldPosition="0">
        <references count="2">
          <reference field="4294967294" count="1" selected="0">
            <x v="0"/>
          </reference>
          <reference field="18" count="1">
            <x v="1"/>
          </reference>
        </references>
      </pivotArea>
    </format>
    <format dxfId="576">
      <pivotArea collapsedLevelsAreSubtotals="1" fieldPosition="0">
        <references count="2">
          <reference field="4294967294" count="1" selected="0">
            <x v="0"/>
          </reference>
          <reference field="18" count="1">
            <x v="2"/>
          </reference>
        </references>
      </pivotArea>
    </format>
    <format dxfId="575">
      <pivotArea collapsedLevelsAreSubtotals="1" fieldPosition="0">
        <references count="2">
          <reference field="4294967294" count="1" selected="0">
            <x v="0"/>
          </reference>
          <reference field="18" count="1">
            <x v="3"/>
          </reference>
        </references>
      </pivotArea>
    </format>
    <format dxfId="574">
      <pivotArea collapsedLevelsAreSubtotals="1" fieldPosition="0">
        <references count="2">
          <reference field="4294967294" count="1" selected="0">
            <x v="0"/>
          </reference>
          <reference field="18" count="1">
            <x v="4"/>
          </reference>
        </references>
      </pivotArea>
    </format>
    <format dxfId="573">
      <pivotArea collapsedLevelsAreSubtotals="1" fieldPosition="0">
        <references count="2">
          <reference field="4294967294" count="1" selected="0">
            <x v="0"/>
          </reference>
          <reference field="18" count="1">
            <x v="5"/>
          </reference>
        </references>
      </pivotArea>
    </format>
    <format dxfId="572">
      <pivotArea collapsedLevelsAreSubtotals="1" fieldPosition="0">
        <references count="2">
          <reference field="4294967294" count="1" selected="0">
            <x v="0"/>
          </reference>
          <reference field="18" count="1">
            <x v="6"/>
          </reference>
        </references>
      </pivotArea>
    </format>
    <format dxfId="571">
      <pivotArea collapsedLevelsAreSubtotals="1" fieldPosition="0">
        <references count="2">
          <reference field="4294967294" count="1" selected="0">
            <x v="0"/>
          </reference>
          <reference field="18" count="1">
            <x v="7"/>
          </reference>
        </references>
      </pivotArea>
    </format>
    <format dxfId="570">
      <pivotArea collapsedLevelsAreSubtotals="1" fieldPosition="0">
        <references count="2">
          <reference field="4294967294" count="1" selected="0">
            <x v="0"/>
          </reference>
          <reference field="18" count="1">
            <x v="8"/>
          </reference>
        </references>
      </pivotArea>
    </format>
    <format dxfId="569">
      <pivotArea collapsedLevelsAreSubtotals="1" fieldPosition="0">
        <references count="2">
          <reference field="4294967294" count="1" selected="0">
            <x v="0"/>
          </reference>
          <reference field="18" count="1">
            <x v="9"/>
          </reference>
        </references>
      </pivotArea>
    </format>
    <format dxfId="568">
      <pivotArea collapsedLevelsAreSubtotals="1" fieldPosition="0">
        <references count="2">
          <reference field="4294967294" count="1" selected="0">
            <x v="0"/>
          </reference>
          <reference field="18" count="1">
            <x v="10"/>
          </reference>
        </references>
      </pivotArea>
    </format>
    <format dxfId="567">
      <pivotArea collapsedLevelsAreSubtotals="1" fieldPosition="0">
        <references count="2">
          <reference field="4294967294" count="1" selected="0">
            <x v="0"/>
          </reference>
          <reference field="18" count="1">
            <x v="11"/>
          </reference>
        </references>
      </pivotArea>
    </format>
    <format dxfId="566">
      <pivotArea outline="0" collapsedLevelsAreSubtotals="1" fieldPosition="0"/>
    </format>
    <format dxfId="565">
      <pivotArea dataOnly="0" labelOnly="1" fieldPosition="0">
        <references count="1">
          <reference field="18" count="0"/>
        </references>
      </pivotArea>
    </format>
    <format dxfId="564">
      <pivotArea dataOnly="0" labelOnly="1" grandRow="1" outline="0" fieldPosition="0"/>
    </format>
    <format dxfId="563">
      <pivotArea outline="0" collapsedLevelsAreSubtotals="1" fieldPosition="0"/>
    </format>
    <format dxfId="562">
      <pivotArea dataOnly="0" labelOnly="1" fieldPosition="0">
        <references count="1">
          <reference field="18" count="0"/>
        </references>
      </pivotArea>
    </format>
    <format dxfId="561">
      <pivotArea dataOnly="0" labelOnly="1" grandRow="1" outline="0" fieldPosition="0"/>
    </format>
    <format dxfId="560">
      <pivotArea outline="0" collapsedLevelsAreSubtotals="1" fieldPosition="0"/>
    </format>
    <format dxfId="559">
      <pivotArea dataOnly="0" labelOnly="1" fieldPosition="0">
        <references count="1">
          <reference field="18" count="0"/>
        </references>
      </pivotArea>
    </format>
    <format dxfId="558">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98">
      <pivotArea dataOnly="0" labelOnly="1" fieldPosition="0">
        <references count="1">
          <reference field="6" count="1">
            <x v="441"/>
          </reference>
        </references>
      </pivotArea>
    </format>
    <format dxfId="597">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607">
      <pivotArea outline="0" collapsedLevelsAreSubtotals="1" fieldPosition="0"/>
    </format>
    <format dxfId="606">
      <pivotArea dataOnly="0" labelOnly="1" fieldPosition="0">
        <references count="1">
          <reference field="18" count="0"/>
        </references>
      </pivotArea>
    </format>
    <format dxfId="605">
      <pivotArea dataOnly="0" labelOnly="1" grandRow="1" outline="0" fieldPosition="0"/>
    </format>
    <format dxfId="604">
      <pivotArea outline="0" collapsedLevelsAreSubtotals="1" fieldPosition="0"/>
    </format>
    <format dxfId="603">
      <pivotArea dataOnly="0" labelOnly="1" fieldPosition="0">
        <references count="1">
          <reference field="18" count="0"/>
        </references>
      </pivotArea>
    </format>
    <format dxfId="602">
      <pivotArea dataOnly="0" labelOnly="1" grandRow="1" outline="0" fieldPosition="0"/>
    </format>
    <format dxfId="601">
      <pivotArea outline="0" collapsedLevelsAreSubtotals="1" fieldPosition="0"/>
    </format>
    <format dxfId="600">
      <pivotArea dataOnly="0" labelOnly="1" fieldPosition="0">
        <references count="1">
          <reference field="18" count="0"/>
        </references>
      </pivotArea>
    </format>
    <format dxfId="599">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84">
      <pivotArea dataOnly="0" labelOnly="1" outline="0" axis="axisValues" fieldPosition="0"/>
    </format>
    <format dxfId="383">
      <pivotArea field="21" type="button" dataOnly="0" labelOnly="1" outline="0" axis="axisRow" fieldPosition="0"/>
    </format>
    <format dxfId="382">
      <pivotArea field="4" type="button" dataOnly="0" labelOnly="1" outline="0" axis="axisRow" fieldPosition="1"/>
    </format>
    <format dxfId="381">
      <pivotArea dataOnly="0" labelOnly="1" outline="0" axis="axisValues" fieldPosition="0"/>
    </format>
    <format dxfId="380">
      <pivotArea grandRow="1" outline="0" collapsedLevelsAreSubtotals="1" fieldPosition="0"/>
    </format>
    <format dxfId="37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88">
      <pivotArea grandRow="1" outline="0" collapsedLevelsAreSubtotals="1" fieldPosition="0"/>
    </format>
    <format dxfId="387">
      <pivotArea dataOnly="0" labelOnly="1" grandRow="1" outline="0" fieldPosition="0"/>
    </format>
    <format dxfId="386">
      <pivotArea field="21" type="button" dataOnly="0" labelOnly="1" outline="0" axis="axisRow" fieldPosition="0"/>
    </format>
    <format dxfId="38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2">
      <pivotArea field="21" type="button" dataOnly="0" labelOnly="1" outline="0" axis="axisRow" fieldPosition="0"/>
    </format>
    <format dxfId="391">
      <pivotArea dataOnly="0" labelOnly="1" outline="0" axis="axisValues" fieldPosition="0"/>
    </format>
    <format dxfId="390">
      <pivotArea grandRow="1" outline="0" collapsedLevelsAreSubtotals="1" fieldPosition="0"/>
    </format>
    <format dxfId="38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95">
      <pivotArea outline="0" collapsedLevelsAreSubtotals="1" fieldPosition="0"/>
    </format>
    <format dxfId="394">
      <pivotArea outline="0" fieldPosition="0">
        <references count="1">
          <reference field="4294967294" count="3" selected="0">
            <x v="1"/>
            <x v="2"/>
            <x v="3"/>
          </reference>
        </references>
      </pivotArea>
    </format>
    <format dxfId="39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96">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07">
      <pivotArea type="all" dataOnly="0" outline="0" fieldPosition="0"/>
    </format>
    <format dxfId="306">
      <pivotArea outline="0" collapsedLevelsAreSubtotals="1" fieldPosition="0"/>
    </format>
    <format dxfId="305">
      <pivotArea type="origin" dataOnly="0" labelOnly="1" outline="0" fieldPosition="0"/>
    </format>
    <format dxfId="304">
      <pivotArea field="5" type="button" dataOnly="0" labelOnly="1" outline="0" axis="axisCol" fieldPosition="0"/>
    </format>
    <format dxfId="303">
      <pivotArea type="topRight" dataOnly="0" labelOnly="1" outline="0" fieldPosition="0"/>
    </format>
    <format dxfId="302">
      <pivotArea field="2" type="button" dataOnly="0" labelOnly="1" outline="0" axis="axisRow" fieldPosition="0"/>
    </format>
    <format dxfId="301">
      <pivotArea dataOnly="0" labelOnly="1" fieldPosition="0">
        <references count="1">
          <reference field="2" count="0"/>
        </references>
      </pivotArea>
    </format>
    <format dxfId="300">
      <pivotArea dataOnly="0" labelOnly="1" grandRow="1" outline="0" fieldPosition="0"/>
    </format>
    <format dxfId="299">
      <pivotArea dataOnly="0" labelOnly="1" fieldPosition="0">
        <references count="1">
          <reference field="5" count="0"/>
        </references>
      </pivotArea>
    </format>
    <format dxfId="298">
      <pivotArea dataOnly="0" labelOnly="1" grandCol="1" outline="0" fieldPosition="0"/>
    </format>
    <format dxfId="297">
      <pivotArea type="origin" dataOnly="0" labelOnly="1" outline="0" fieldPosition="0"/>
    </format>
    <format dxfId="296">
      <pivotArea field="5" type="button" dataOnly="0" labelOnly="1" outline="0" axis="axisCol" fieldPosition="0"/>
    </format>
    <format dxfId="295">
      <pivotArea type="topRight" dataOnly="0" labelOnly="1" outline="0" fieldPosition="0"/>
    </format>
    <format dxfId="294">
      <pivotArea field="2" type="button" dataOnly="0" labelOnly="1" outline="0" axis="axisRow" fieldPosition="0"/>
    </format>
    <format dxfId="293">
      <pivotArea dataOnly="0" labelOnly="1" fieldPosition="0">
        <references count="1">
          <reference field="5" count="0"/>
        </references>
      </pivotArea>
    </format>
    <format dxfId="292">
      <pivotArea dataOnly="0" labelOnly="1" grandCol="1" outline="0" fieldPosition="0"/>
    </format>
    <format dxfId="291">
      <pivotArea type="origin" dataOnly="0" labelOnly="1" outline="0" fieldPosition="0"/>
    </format>
    <format dxfId="290">
      <pivotArea field="5" type="button" dataOnly="0" labelOnly="1" outline="0" axis="axisCol" fieldPosition="0"/>
    </format>
    <format dxfId="289">
      <pivotArea type="topRight" dataOnly="0" labelOnly="1" outline="0" fieldPosition="0"/>
    </format>
    <format dxfId="288">
      <pivotArea field="2" type="button" dataOnly="0" labelOnly="1" outline="0" axis="axisRow" fieldPosition="0"/>
    </format>
    <format dxfId="287">
      <pivotArea dataOnly="0" labelOnly="1" fieldPosition="0">
        <references count="1">
          <reference field="5" count="0"/>
        </references>
      </pivotArea>
    </format>
    <format dxfId="286">
      <pivotArea dataOnly="0" labelOnly="1" grandCol="1" outline="0" fieldPosition="0"/>
    </format>
    <format dxfId="285">
      <pivotArea grandRow="1" outline="0" collapsedLevelsAreSubtotals="1" fieldPosition="0"/>
    </format>
    <format dxfId="284">
      <pivotArea dataOnly="0" labelOnly="1" grandRow="1" outline="0" fieldPosition="0"/>
    </format>
    <format dxfId="283">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27">
      <pivotArea field="4" type="button" dataOnly="0" labelOnly="1" outline="0" axis="axisRow" fieldPosition="0"/>
    </format>
    <format dxfId="326">
      <pivotArea dataOnly="0" labelOnly="1" outline="0" axis="axisValues" fieldPosition="0"/>
    </format>
    <format dxfId="325">
      <pivotArea grandRow="1" outline="0" collapsedLevelsAreSubtotals="1" fieldPosition="0"/>
    </format>
    <format dxfId="324">
      <pivotArea dataOnly="0" labelOnly="1" grandRow="1" outline="0" fieldPosition="0"/>
    </format>
    <format dxfId="323">
      <pivotArea type="all" dataOnly="0" outline="0" fieldPosition="0"/>
    </format>
    <format dxfId="322">
      <pivotArea outline="0" collapsedLevelsAreSubtotals="1" fieldPosition="0"/>
    </format>
    <format dxfId="321">
      <pivotArea field="4" type="button" dataOnly="0" labelOnly="1" outline="0" axis="axisRow" fieldPosition="0"/>
    </format>
    <format dxfId="320">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19">
      <pivotArea dataOnly="0" labelOnly="1" grandRow="1" outline="0" fieldPosition="0"/>
    </format>
    <format dxfId="318">
      <pivotArea dataOnly="0" labelOnly="1" outline="0" axis="axisValues" fieldPosition="0"/>
    </format>
    <format dxfId="317">
      <pivotArea type="all" dataOnly="0" outline="0" fieldPosition="0"/>
    </format>
    <format dxfId="316">
      <pivotArea outline="0" collapsedLevelsAreSubtotals="1" fieldPosition="0"/>
    </format>
    <format dxfId="315">
      <pivotArea field="4" type="button" dataOnly="0" labelOnly="1" outline="0" axis="axisRow" fieldPosition="0"/>
    </format>
    <format dxfId="314">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13">
      <pivotArea dataOnly="0" labelOnly="1" grandRow="1" outline="0" fieldPosition="0"/>
    </format>
    <format dxfId="312">
      <pivotArea dataOnly="0" labelOnly="1" outline="0" axis="axisValues" fieldPosition="0"/>
    </format>
    <format dxfId="311">
      <pivotArea field="4" type="button" dataOnly="0" labelOnly="1" outline="0" axis="axisRow" fieldPosition="0"/>
    </format>
    <format dxfId="310">
      <pivotArea dataOnly="0" labelOnly="1" outline="0" axis="axisValues" fieldPosition="0"/>
    </format>
    <format dxfId="309">
      <pivotArea grandRow="1" outline="0" collapsedLevelsAreSubtotals="1" fieldPosition="0"/>
    </format>
    <format dxfId="30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53">
      <pivotArea field="5" type="button" dataOnly="0" labelOnly="1" outline="0" axis="axisRow" fieldPosition="0"/>
    </format>
    <format dxfId="352">
      <pivotArea dataOnly="0" labelOnly="1" outline="0" fieldPosition="0">
        <references count="1">
          <reference field="4294967294" count="2">
            <x v="0"/>
            <x v="1"/>
          </reference>
        </references>
      </pivotArea>
    </format>
    <format dxfId="351">
      <pivotArea field="5" type="button" dataOnly="0" labelOnly="1" outline="0" axis="axisRow"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dataOnly="0" labelOnly="1" grandRow="1" outline="0" fieldPosition="0"/>
    </format>
    <format dxfId="347">
      <pivotArea grandRow="1" outline="0" collapsedLevelsAreSubtotals="1" fieldPosition="0"/>
    </format>
    <format dxfId="346">
      <pivotArea dataOnly="0" labelOnly="1" grandRow="1" outline="0" fieldPosition="0"/>
    </format>
    <format dxfId="345">
      <pivotArea grandRow="1" outline="0" collapsedLevelsAreSubtotals="1" fieldPosition="0"/>
    </format>
    <format dxfId="344">
      <pivotArea dataOnly="0" labelOnly="1" grandRow="1" outline="0" fieldPosition="0"/>
    </format>
    <format dxfId="343">
      <pivotArea grandRow="1" outline="0" collapsedLevelsAreSubtotals="1" fieldPosition="0"/>
    </format>
    <format dxfId="342">
      <pivotArea dataOnly="0" labelOnly="1" grandRow="1" outline="0" fieldPosition="0"/>
    </format>
    <format dxfId="341">
      <pivotArea field="5" type="button" dataOnly="0" labelOnly="1" outline="0" axis="axisRow" fieldPosition="0"/>
    </format>
    <format dxfId="340">
      <pivotArea dataOnly="0" labelOnly="1" outline="0" fieldPosition="0">
        <references count="1">
          <reference field="4294967294" count="2">
            <x v="0"/>
            <x v="1"/>
          </reference>
        </references>
      </pivotArea>
    </format>
    <format dxfId="339">
      <pivotArea type="all" dataOnly="0" outline="0" fieldPosition="0"/>
    </format>
    <format dxfId="338">
      <pivotArea outline="0" collapsedLevelsAreSubtotals="1" fieldPosition="0"/>
    </format>
    <format dxfId="337">
      <pivotArea field="5" type="button" dataOnly="0" labelOnly="1" outline="0" axis="axisRow" fieldPosition="0"/>
    </format>
    <format dxfId="336">
      <pivotArea dataOnly="0" labelOnly="1" fieldPosition="0">
        <references count="1">
          <reference field="5" count="0"/>
        </references>
      </pivotArea>
    </format>
    <format dxfId="335">
      <pivotArea dataOnly="0" labelOnly="1" grandRow="1" outline="0" fieldPosition="0"/>
    </format>
    <format dxfId="334">
      <pivotArea dataOnly="0" labelOnly="1" outline="0" fieldPosition="0">
        <references count="1">
          <reference field="4294967294" count="2">
            <x v="0"/>
            <x v="1"/>
          </reference>
        </references>
      </pivotArea>
    </format>
    <format dxfId="333">
      <pivotArea type="all" dataOnly="0" outline="0" fieldPosition="0"/>
    </format>
    <format dxfId="332">
      <pivotArea outline="0" collapsedLevelsAreSubtotals="1" fieldPosition="0"/>
    </format>
    <format dxfId="331">
      <pivotArea field="5" type="button" dataOnly="0" labelOnly="1" outline="0" axis="axisRow" fieldPosition="0"/>
    </format>
    <format dxfId="330">
      <pivotArea dataOnly="0" labelOnly="1" fieldPosition="0">
        <references count="1">
          <reference field="5" count="0"/>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78">
      <pivotArea type="all" dataOnly="0" outline="0" fieldPosition="0"/>
    </format>
    <format dxfId="377">
      <pivotArea outline="0" collapsedLevelsAreSubtotals="1" fieldPosition="0"/>
    </format>
    <format dxfId="376">
      <pivotArea field="18" type="button" dataOnly="0" labelOnly="1" outline="0" axis="axisRow" fieldPosition="0"/>
    </format>
    <format dxfId="375">
      <pivotArea dataOnly="0" labelOnly="1" fieldPosition="0">
        <references count="1">
          <reference field="18" count="11">
            <x v="3"/>
            <x v="4"/>
            <x v="5"/>
            <x v="6"/>
            <x v="7"/>
            <x v="8"/>
            <x v="9"/>
            <x v="10"/>
            <x v="11"/>
            <x v="12"/>
            <x v="13"/>
          </reference>
        </references>
      </pivotArea>
    </format>
    <format dxfId="374">
      <pivotArea dataOnly="0" labelOnly="1" grandRow="1" outline="0" fieldPosition="0"/>
    </format>
    <format dxfId="373">
      <pivotArea dataOnly="0" labelOnly="1" outline="0" fieldPosition="0">
        <references count="1">
          <reference field="4294967294" count="2">
            <x v="0"/>
            <x v="1"/>
          </reference>
        </references>
      </pivotArea>
    </format>
    <format dxfId="372">
      <pivotArea type="all" dataOnly="0" outline="0" fieldPosition="0"/>
    </format>
    <format dxfId="371">
      <pivotArea outline="0" collapsedLevelsAreSubtotals="1" fieldPosition="0"/>
    </format>
    <format dxfId="370">
      <pivotArea field="18" type="button" dataOnly="0" labelOnly="1" outline="0" axis="axisRow" fieldPosition="0"/>
    </format>
    <format dxfId="369">
      <pivotArea dataOnly="0" labelOnly="1" fieldPosition="0">
        <references count="1">
          <reference field="18" count="11">
            <x v="3"/>
            <x v="4"/>
            <x v="5"/>
            <x v="6"/>
            <x v="7"/>
            <x v="8"/>
            <x v="9"/>
            <x v="10"/>
            <x v="11"/>
            <x v="12"/>
            <x v="13"/>
          </reference>
        </references>
      </pivotArea>
    </format>
    <format dxfId="368">
      <pivotArea dataOnly="0" labelOnly="1" grandRow="1" outline="0" fieldPosition="0"/>
    </format>
    <format dxfId="367">
      <pivotArea dataOnly="0" labelOnly="1" outline="0" fieldPosition="0">
        <references count="1">
          <reference field="4294967294" count="2">
            <x v="0"/>
            <x v="1"/>
          </reference>
        </references>
      </pivotArea>
    </format>
    <format dxfId="366">
      <pivotArea collapsedLevelsAreSubtotals="1" fieldPosition="0">
        <references count="1">
          <reference field="18" count="1">
            <x v="13"/>
          </reference>
        </references>
      </pivotArea>
    </format>
    <format dxfId="365">
      <pivotArea collapsedLevelsAreSubtotals="1" fieldPosition="0">
        <references count="1">
          <reference field="18" count="1">
            <x v="12"/>
          </reference>
        </references>
      </pivotArea>
    </format>
    <format dxfId="364">
      <pivotArea collapsedLevelsAreSubtotals="1" fieldPosition="0">
        <references count="1">
          <reference field="18" count="1">
            <x v="11"/>
          </reference>
        </references>
      </pivotArea>
    </format>
    <format dxfId="363">
      <pivotArea collapsedLevelsAreSubtotals="1" fieldPosition="0">
        <references count="1">
          <reference field="18" count="1">
            <x v="10"/>
          </reference>
        </references>
      </pivotArea>
    </format>
    <format dxfId="362">
      <pivotArea collapsedLevelsAreSubtotals="1" fieldPosition="0">
        <references count="1">
          <reference field="18" count="1">
            <x v="9"/>
          </reference>
        </references>
      </pivotArea>
    </format>
    <format dxfId="361">
      <pivotArea collapsedLevelsAreSubtotals="1" fieldPosition="0">
        <references count="1">
          <reference field="18" count="1">
            <x v="8"/>
          </reference>
        </references>
      </pivotArea>
    </format>
    <format dxfId="360">
      <pivotArea collapsedLevelsAreSubtotals="1" fieldPosition="0">
        <references count="1">
          <reference field="18" count="1">
            <x v="7"/>
          </reference>
        </references>
      </pivotArea>
    </format>
    <format dxfId="359">
      <pivotArea collapsedLevelsAreSubtotals="1" fieldPosition="0">
        <references count="1">
          <reference field="18" count="1">
            <x v="6"/>
          </reference>
        </references>
      </pivotArea>
    </format>
    <format dxfId="358">
      <pivotArea collapsedLevelsAreSubtotals="1" fieldPosition="0">
        <references count="1">
          <reference field="18" count="1">
            <x v="5"/>
          </reference>
        </references>
      </pivotArea>
    </format>
    <format dxfId="357">
      <pivotArea collapsedLevelsAreSubtotals="1" fieldPosition="0">
        <references count="1">
          <reference field="18" count="1">
            <x v="4"/>
          </reference>
        </references>
      </pivotArea>
    </format>
    <format dxfId="356">
      <pivotArea collapsedLevelsAreSubtotals="1" fieldPosition="0">
        <references count="1">
          <reference field="18" count="1">
            <x v="3"/>
          </reference>
        </references>
      </pivotArea>
    </format>
    <format dxfId="355">
      <pivotArea dataOnly="0" labelOnly="1" fieldPosition="0">
        <references count="1">
          <reference field="18" count="11">
            <x v="3"/>
            <x v="4"/>
            <x v="5"/>
            <x v="6"/>
            <x v="7"/>
            <x v="8"/>
            <x v="9"/>
            <x v="10"/>
            <x v="11"/>
            <x v="12"/>
            <x v="13"/>
          </reference>
        </references>
      </pivotArea>
    </format>
    <format dxfId="354">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5" totalsRowCount="1" headerRowDxfId="557" dataDxfId="555" headerRowBorderDxfId="556" tableBorderDxfId="554" totalsRowBorderDxfId="553">
  <autoFilter ref="A1:V194" xr:uid="{7E831CCF-E802-4A71-B6A7-513A8B426708}">
    <filterColumn colId="0">
      <filters blank="1">
        <dateGroupItem year="2026" month="5" dateTimeGrouping="month"/>
      </filters>
    </filterColumn>
  </autoFilter>
  <tableColumns count="22">
    <tableColumn id="1" xr3:uid="{76684A6E-C7B0-4199-8302-DE0D42A8A105}" name="Data" totalsRowLabel="Total" dataDxfId="552" totalsRowDxfId="551"/>
    <tableColumn id="2" xr3:uid="{F15B895A-5A3B-4C2D-B383-6D0C48AA278E}" name="Ticket" dataDxfId="550" totalsRowDxfId="549"/>
    <tableColumn id="3" xr3:uid="{6EFEAB9B-E063-4E4A-A6D2-F8CA892B2013}" name="Vendedor" dataDxfId="548" totalsRowDxfId="547"/>
    <tableColumn id="4" xr3:uid="{EF07BB64-6F57-4639-A122-622E6666E3DE}" name="Cliente" dataDxfId="546" totalsRowDxfId="545"/>
    <tableColumn id="5" xr3:uid="{625FDEEF-1D7F-47FF-83F2-1A660D74F81C}" name="Produto" dataDxfId="544" totalsRowDxfId="543"/>
    <tableColumn id="6" xr3:uid="{86198995-B475-46CD-8D95-629C89133146}" name="TipoReceita" dataDxfId="542" totalsRowDxfId="541"/>
    <tableColumn id="7" xr3:uid="{511AE429-E4B5-42F3-A35D-C9BC180DD29B}" name="Qtde" totalsRowFunction="sum" dataDxfId="540" totalsRowDxfId="539"/>
    <tableColumn id="8" xr3:uid="{DF379BCA-61D2-49FA-8CEF-5FB7467DE718}" name="VlrUnitário" dataDxfId="538" totalsRowDxfId="537"/>
    <tableColumn id="9" xr3:uid="{1945195E-4F82-478B-8B2D-7F0600A8CEC8}" name="VlrTotal" totalsRowFunction="sum" dataDxfId="536" totalsRowDxfId="535"/>
    <tableColumn id="21" xr3:uid="{0FCE8FB0-ED64-4402-9279-D3450C229927}" name="Vlr Meta" totalsRowFunction="sum" dataDxfId="534" totalsRowDxfId="533"/>
    <tableColumn id="10" xr3:uid="{1F8E86E1-C3B8-4BA1-8EF2-34FD28A99CD1}" name="%Comissão" dataDxfId="532" totalsRowDxfId="531" dataCellStyle="Porcentagem"/>
    <tableColumn id="11" xr3:uid="{7AF1D776-3583-4AA8-ABA9-5A652B9C2CC7}" name="%ComissãoSupervisor" dataDxfId="530" totalsRowDxfId="529" dataCellStyle="Porcentagem"/>
    <tableColumn id="12" xr3:uid="{776F0B3E-2DA8-4332-870D-42A9616574CD}" name="Base" dataDxfId="528" totalsRowDxfId="527"/>
    <tableColumn id="13" xr3:uid="{2ACE40DE-7D56-44B3-884F-A79E6BB72021}" name="ComissãoVendedor " totalsRowFunction="sum" dataDxfId="526" totalsRowDxfId="525"/>
    <tableColumn id="14" xr3:uid="{BA93F379-EB16-44E4-B240-F73C47EC360B}" name="ComissãoSupervisor" totalsRowFunction="sum" dataDxfId="524" totalsRowDxfId="523"/>
    <tableColumn id="15" xr3:uid="{1955815E-E6AE-4BF7-9F21-8DED62E8CFB6}" name="Clicksign" dataDxfId="522" totalsRowDxfId="521"/>
    <tableColumn id="16" xr3:uid="{8899F7C2-6C46-4913-9178-C3BFBB1A431F}" name="Contrato_Termo Aditivo" dataDxfId="520" totalsRowDxfId="519"/>
    <tableColumn id="17" xr3:uid="{C9C40A0A-C8C0-48A4-B2A9-E4A1A88755B6}" name="Obs" dataDxfId="518" totalsRowDxfId="517"/>
    <tableColumn id="18" xr3:uid="{492A95C3-2CCC-4EE6-9E8A-A11F6F0B43DA}" name="Parcelas" dataDxfId="516" totalsRowDxfId="515"/>
    <tableColumn id="22" xr3:uid="{EC452F76-CA8F-41A5-A01B-D142E0025C39}" name="Data Contrato" dataDxfId="514" totalsRowDxfId="513"/>
    <tableColumn id="19" xr3:uid="{167F829A-0296-408D-BAAA-468B00E956F1}" name="Contrato" dataDxfId="512" totalsRowDxfId="511"/>
    <tableColumn id="20" xr3:uid="{3FECAE39-38AF-4BA8-8C16-B26E27D74267}" name="SDR_RESPONSÁVEL" totalsRowFunction="count" dataDxfId="510" totalsRowDxfId="50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508">
  <autoFilter ref="M1:AC53" xr:uid="{86D9BEC3-8CE7-4C1E-BA0F-25EC8B5FACDF}">
    <filterColumn colId="1">
      <filters>
        <dateGroupItem year="2026" dateTimeGrouping="year"/>
      </filters>
    </filterColumn>
  </autoFilter>
  <tableColumns count="17">
    <tableColumn id="1" xr3:uid="{65FF39B3-6AA4-47E3-A2E0-34AF59670B48}" name="Ano" dataDxfId="507"/>
    <tableColumn id="15" xr3:uid="{4F28688F-AE94-4AA3-B655-5355F9DA4CEC}" name="Mês" dataDxfId="506"/>
    <tableColumn id="2" xr3:uid="{9F352413-EAA1-41A7-B4D3-9D32DC5A8B88}" name="Vendedor"/>
    <tableColumn id="16" xr3:uid="{3D4D81D6-372A-48C5-9408-A36AD27C1B31}" name="Lead" dataDxfId="505"/>
    <tableColumn id="3" xr3:uid="{5D6A238A-B8BE-4B10-9CED-92C1F0D4F835}" name="Propsota" dataDxfId="504"/>
    <tableColumn id="4" xr3:uid="{2EF085B6-3E3A-46B0-8B55-AD9641ECEB8F}" name="Apresentação" dataDxfId="503"/>
    <tableColumn id="5" xr3:uid="{81EB3760-F668-479F-8FF5-C2210941AFE3}" name="Meta Individual" dataDxfId="502"/>
    <tableColumn id="6" xr3:uid="{897CAD94-46DD-414E-B5CF-D27344FB7C5F}" name="Meta Equipe" dataDxfId="501"/>
    <tableColumn id="7" xr3:uid="{DBA8DEF0-9D1D-42B7-8979-411FC3118DB7}" name="Meta Projetos" dataDxfId="500"/>
    <tableColumn id="17" xr3:uid="{2A353D1A-2C11-433A-B27A-F3ACE6F07AD9}" name="OBLead" dataDxfId="499"/>
    <tableColumn id="8" xr3:uid="{CF39EE58-1D3F-47E2-9DEA-C387BBAA7E67}" name="OB Proposta "/>
    <tableColumn id="9" xr3:uid="{0E45D32A-35C3-4D50-AE03-0075AD8C6EEA}" name="OB Apresentação"/>
    <tableColumn id="10" xr3:uid="{7B549B0C-BAC0-483C-B6BC-A82C834A1EEE}" name="OB Individual" dataDxfId="498"/>
    <tableColumn id="11" xr3:uid="{50C746E6-3A52-4E59-9FDB-C49049B8DB33}" name="OBEquipe" dataDxfId="497"/>
    <tableColumn id="12" xr3:uid="{DAD9E805-63F1-4227-AD05-A88F02501A42}" name="OB Projetos" dataDxfId="496"/>
    <tableColumn id="13" xr3:uid="{363BCA7E-0EE6-4F3F-AD3D-9BD2DD9564A6}" name="OBI" dataDxfId="495" dataCellStyle="Porcentagem">
      <calculatedColumnFormula>metas[[#This Row],[Meta Individual]]/metas[[#This Row],[OB Individual]]</calculatedColumnFormula>
    </tableColumn>
    <tableColumn id="14" xr3:uid="{B9AA1BFD-524A-4E21-8FFD-935006A08F7F}" name="OBE" dataDxfId="494"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5"/>
  <sheetViews>
    <sheetView showGridLines="0" zoomScaleNormal="100" workbookViewId="0">
      <pane xSplit="5" ySplit="1" topLeftCell="N175" activePane="bottomRight" state="frozen"/>
      <selection pane="topRight" activeCell="F1" sqref="F1"/>
      <selection pane="bottomLeft" activeCell="A3" sqref="A3"/>
      <selection pane="bottomRight" activeCell="N193" sqref="N193"/>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f>
        <v>420</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f>
        <v>356.4</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1</v>
      </c>
      <c r="L182" s="16">
        <f>vendas2026[[#This Row],[%Comissão]]*0.25</f>
        <v>0.25</v>
      </c>
      <c r="M182" s="14" t="s">
        <v>24</v>
      </c>
      <c r="N182" s="24">
        <f>vendas2026[[#This Row],[VlrTotal]]*vendas2026[[#This Row],[%Comissão]]</f>
        <v>15264</v>
      </c>
      <c r="O182" s="14">
        <f>vendas2026[[#This Row],[VlrTotal]]*vendas2026[[#This Row],[%ComissãoSupervisor]]</f>
        <v>3816</v>
      </c>
      <c r="P182" s="11" t="s">
        <v>25</v>
      </c>
      <c r="Q182" s="11" t="s">
        <v>25</v>
      </c>
      <c r="R182" s="11"/>
      <c r="S182" s="11">
        <v>10</v>
      </c>
      <c r="T182" s="383">
        <v>46156</v>
      </c>
      <c r="U182" s="11" t="s">
        <v>26</v>
      </c>
      <c r="V182" s="17" t="s">
        <v>20</v>
      </c>
    </row>
    <row r="183" spans="1:22"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t="13.95" customHeight="1" x14ac:dyDescent="0.3">
      <c r="A195" s="77" t="s">
        <v>3367</v>
      </c>
      <c r="B195" s="22"/>
      <c r="C195" s="22"/>
      <c r="D195" s="11"/>
      <c r="E195" s="22"/>
      <c r="F195" s="22"/>
      <c r="G195" s="23">
        <f>SUBTOTAL(109,vendas2026[Qtde])</f>
        <v>1225.5</v>
      </c>
      <c r="H195" s="22"/>
      <c r="I195" s="24">
        <f>SUBTOTAL(109,vendas2026[VlrTotal])</f>
        <v>224673.9</v>
      </c>
      <c r="J195" s="24">
        <f>SUBTOTAL(109,vendas2026[Vlr Meta])</f>
        <v>231993.66</v>
      </c>
      <c r="K195" s="22"/>
      <c r="L195" s="22"/>
      <c r="M195" s="22"/>
      <c r="N195" s="24">
        <f>SUBTOTAL(109,vendas2026[[ComissãoVendedor ]])</f>
        <v>35974.797824000001</v>
      </c>
      <c r="O195" s="24">
        <f>SUBTOTAL(109,vendas2026[ComissãoSupervisor])</f>
        <v>8314.859456000002</v>
      </c>
      <c r="P195" s="22"/>
      <c r="Q195" s="22"/>
      <c r="R195" s="22"/>
      <c r="S195" s="22"/>
      <c r="T195" s="384"/>
      <c r="U195" s="22"/>
      <c r="V195" s="76">
        <f>SUBTOTAL(103,vendas2026[SDR_RESPONSÁVEL])</f>
        <v>29</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H15" sqref="H1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91594.91</v>
      </c>
      <c r="D8" s="84">
        <f>C8/B8</f>
        <v>1.0177212222222223</v>
      </c>
    </row>
    <row r="9" spans="1:6" ht="15.6" thickTop="1" thickBot="1" x14ac:dyDescent="0.35">
      <c r="A9" s="81" t="s">
        <v>3378</v>
      </c>
      <c r="B9" s="82">
        <v>8000</v>
      </c>
      <c r="C9" s="83">
        <v>1183.25</v>
      </c>
      <c r="D9" s="84">
        <f>C9/B9</f>
        <v>0.14790624999999999</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2715.36</v>
      </c>
      <c r="D14" s="84">
        <f>C14/B14</f>
        <v>0.271536</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220900.69</v>
      </c>
      <c r="D24" s="87">
        <f>C24/B24</f>
        <v>0.81815070370370369</v>
      </c>
    </row>
    <row r="25" spans="1:6" ht="15.6" thickTop="1" thickBot="1" x14ac:dyDescent="0.35">
      <c r="A25" s="85" t="s">
        <v>3382</v>
      </c>
      <c r="B25" s="88">
        <f>B5+B9+B14+B18</f>
        <v>34000</v>
      </c>
      <c r="C25" s="88">
        <f>C5+C9+C14+C22+C18</f>
        <v>11092.970000000001</v>
      </c>
      <c r="D25" s="89">
        <f>C25/B25</f>
        <v>0.3262638235294118</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220900.69</v>
      </c>
      <c r="D28" s="87">
        <f>C28/B28</f>
        <v>0.81815070370370369</v>
      </c>
    </row>
    <row r="29" spans="1:6" ht="15.6" thickTop="1" thickBot="1" x14ac:dyDescent="0.35">
      <c r="A29" s="81" t="s">
        <v>3378</v>
      </c>
      <c r="B29" s="86">
        <f>B25</f>
        <v>34000</v>
      </c>
      <c r="C29" s="90">
        <f>C5+C9+C22+C14+C17</f>
        <v>11092.970000000001</v>
      </c>
      <c r="D29" s="87">
        <f>C29/B29</f>
        <v>0.3262638235294118</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R52" sqref="R52"/>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10</v>
      </c>
      <c r="R50" s="380">
        <v>11</v>
      </c>
      <c r="S50" s="54">
        <f>'Metas Quadro'!C9</f>
        <v>1183.25</v>
      </c>
      <c r="T50" s="54">
        <f>'Metas Quadro'!C25</f>
        <v>11092.970000000001</v>
      </c>
      <c r="U50" s="54">
        <f>'Metas Quadro'!C8</f>
        <v>91594.91</v>
      </c>
      <c r="V50" s="379">
        <v>150</v>
      </c>
      <c r="W50">
        <v>15</v>
      </c>
      <c r="X50">
        <v>12</v>
      </c>
      <c r="Y50" s="238">
        <v>8</v>
      </c>
      <c r="Z50" s="238">
        <v>34</v>
      </c>
      <c r="AA50" s="55">
        <v>90000</v>
      </c>
      <c r="AB50" s="290">
        <f>metas[[#This Row],[Meta Individual]]/8000</f>
        <v>0.14790624999999999</v>
      </c>
      <c r="AC50" s="290">
        <f>metas[[#This Row],[Meta Equipe]]/34000/4</f>
        <v>8.156595588235295E-2</v>
      </c>
    </row>
    <row r="51" spans="1:29" x14ac:dyDescent="0.3">
      <c r="A51" s="48" t="s">
        <v>242</v>
      </c>
      <c r="B51" s="48"/>
      <c r="C51" s="48"/>
      <c r="D51" s="48"/>
      <c r="E51" s="48"/>
      <c r="F51" s="48"/>
      <c r="G51" s="48"/>
      <c r="H51" s="48"/>
      <c r="I51" s="48"/>
      <c r="J51" s="48"/>
      <c r="K51" s="48"/>
      <c r="L51" s="48"/>
      <c r="M51" s="240">
        <v>2026</v>
      </c>
      <c r="N51" s="53">
        <v>46143</v>
      </c>
      <c r="O51" s="33" t="s">
        <v>20</v>
      </c>
      <c r="P51" s="380"/>
      <c r="Q51" s="380">
        <v>10</v>
      </c>
      <c r="R51" s="380">
        <v>11</v>
      </c>
      <c r="S51" s="54">
        <f>'Metas Quadro'!C5</f>
        <v>7194.36</v>
      </c>
      <c r="T51" s="54">
        <f>'Metas Quadro'!C25</f>
        <v>11092.970000000001</v>
      </c>
      <c r="U51" s="54">
        <f>'Metas Quadro'!C4</f>
        <v>129305.78</v>
      </c>
      <c r="V51" s="379">
        <v>150</v>
      </c>
      <c r="W51">
        <v>15</v>
      </c>
      <c r="X51">
        <v>12</v>
      </c>
      <c r="Y51" s="238">
        <v>10</v>
      </c>
      <c r="Z51" s="238">
        <v>34</v>
      </c>
      <c r="AA51" s="55">
        <v>90000</v>
      </c>
      <c r="AB51" s="290">
        <f>metas[[#This Row],[Meta Individual]]/10000</f>
        <v>0.71943599999999996</v>
      </c>
      <c r="AC51" s="290">
        <f>metas[[#This Row],[Meta Equipe]]/34000/4</f>
        <v>8.156595588235295E-2</v>
      </c>
    </row>
    <row r="52" spans="1:29" x14ac:dyDescent="0.3">
      <c r="A52" s="48" t="s">
        <v>229</v>
      </c>
      <c r="B52" s="48"/>
      <c r="C52" s="48"/>
      <c r="D52" s="48"/>
      <c r="E52" s="48"/>
      <c r="F52" s="48"/>
      <c r="G52" s="48"/>
      <c r="H52" s="48"/>
      <c r="I52" s="48"/>
      <c r="J52" s="48"/>
      <c r="K52" s="48"/>
      <c r="L52" s="48"/>
      <c r="M52" s="240">
        <v>2026</v>
      </c>
      <c r="N52" s="53">
        <v>46143</v>
      </c>
      <c r="O52" s="33" t="s">
        <v>40</v>
      </c>
      <c r="P52" s="380"/>
      <c r="Q52" s="380">
        <v>2</v>
      </c>
      <c r="R52" s="380">
        <v>1</v>
      </c>
      <c r="S52" s="54">
        <f>'Metas Quadro'!C14</f>
        <v>2715.36</v>
      </c>
      <c r="T52" s="54">
        <f>'Metas Quadro'!C25</f>
        <v>11092.970000000001</v>
      </c>
      <c r="U52" s="54">
        <f>'Metas Quadro'!C13</f>
        <v>0</v>
      </c>
      <c r="V52" s="379">
        <v>150</v>
      </c>
      <c r="W52">
        <v>15</v>
      </c>
      <c r="X52">
        <v>12</v>
      </c>
      <c r="Y52" s="238">
        <v>10</v>
      </c>
      <c r="Z52" s="238">
        <v>34</v>
      </c>
      <c r="AA52" s="55">
        <v>90000</v>
      </c>
      <c r="AB52" s="290">
        <f>metas[[#This Row],[Meta Individual]]/10000</f>
        <v>0.271536</v>
      </c>
      <c r="AC52" s="290">
        <f>metas[[#This Row],[Meta Equipe]]/34000/4</f>
        <v>8.156595588235295E-2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1</v>
      </c>
      <c r="R53" s="380">
        <v>4</v>
      </c>
      <c r="S53" s="54">
        <f>'Metas Quadro'!C18</f>
        <v>0</v>
      </c>
      <c r="T53" s="54">
        <f>'Metas Quadro'!C25</f>
        <v>11092.970000000001</v>
      </c>
      <c r="U53" s="54">
        <f>'Metas Quadro'!C17</f>
        <v>0</v>
      </c>
      <c r="V53" s="379">
        <v>150</v>
      </c>
      <c r="W53">
        <v>15</v>
      </c>
      <c r="X53">
        <v>12</v>
      </c>
      <c r="Y53" s="238">
        <v>6</v>
      </c>
      <c r="Z53" s="238">
        <v>34</v>
      </c>
      <c r="AA53" s="55">
        <v>54000</v>
      </c>
      <c r="AB53" s="290">
        <f>metas[[#This Row],[Meta Individual]]/6000</f>
        <v>0</v>
      </c>
      <c r="AC53" s="290">
        <f>metas[[#This Row],[Meta Equipe]]/34000/4</f>
        <v>8.156595588235295E-2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11">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30.5546875" bestFit="1" customWidth="1"/>
    <col min="18" max="18" width="14.77734375" bestFit="1" customWidth="1"/>
    <col min="20" max="20" width="25.88671875" bestFit="1" customWidth="1"/>
    <col min="21" max="21" width="14.77734375" bestFit="1" customWidth="1"/>
    <col min="23" max="23" width="17.6640625" bestFit="1" customWidth="1"/>
    <col min="24" max="24" width="21.44140625" bestFit="1" customWidth="1"/>
    <col min="27" max="27" width="25.21875" bestFit="1" customWidth="1"/>
    <col min="28" max="28" width="20.109375" bestFit="1" customWidth="1"/>
    <col min="30" max="30" width="17.44140625" bestFit="1" customWidth="1"/>
    <col min="31" max="31" width="14.7773437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2" t="s">
        <v>230</v>
      </c>
      <c r="D67" s="402"/>
      <c r="E67" s="402"/>
      <c r="F67" s="402"/>
      <c r="G67" s="403" t="s">
        <v>231</v>
      </c>
      <c r="H67" s="403"/>
      <c r="I67" s="403"/>
      <c r="J67" s="403"/>
      <c r="K67" s="396" t="s">
        <v>232</v>
      </c>
      <c r="L67" s="396"/>
      <c r="M67" s="396"/>
      <c r="N67" s="396"/>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7" t="s">
        <v>3389</v>
      </c>
      <c r="D75" s="397"/>
      <c r="E75" s="397"/>
      <c r="F75" s="397"/>
      <c r="G75" s="397"/>
      <c r="H75" s="397"/>
      <c r="I75" s="397"/>
      <c r="J75" s="397"/>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8" t="s">
        <v>3396</v>
      </c>
      <c r="D84" s="398"/>
      <c r="E84" s="398"/>
      <c r="F84" s="398"/>
      <c r="G84" s="398"/>
      <c r="H84" s="398"/>
      <c r="I84" s="398"/>
      <c r="J84" s="398"/>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404" t="s">
        <v>3413</v>
      </c>
      <c r="E109" s="405"/>
      <c r="F109" s="406"/>
    </row>
    <row r="110" spans="3:14" ht="15.6" x14ac:dyDescent="0.3">
      <c r="D110" s="169" t="s">
        <v>2</v>
      </c>
      <c r="E110" s="407" t="s">
        <v>3414</v>
      </c>
      <c r="F110" s="408"/>
    </row>
    <row r="111" spans="3:14" ht="15.6" x14ac:dyDescent="0.3">
      <c r="D111" s="170" t="s">
        <v>3415</v>
      </c>
      <c r="E111" s="409">
        <f>M89</f>
        <v>4404.8160753828961</v>
      </c>
      <c r="F111" s="410"/>
    </row>
    <row r="112" spans="3:14" ht="15.6" x14ac:dyDescent="0.3">
      <c r="D112" s="170" t="s">
        <v>3416</v>
      </c>
      <c r="E112" s="409">
        <f>M95</f>
        <v>252.24243775806644</v>
      </c>
      <c r="F112" s="410"/>
    </row>
    <row r="113" spans="4:10" ht="16.2" thickBot="1" x14ac:dyDescent="0.35">
      <c r="D113" s="171" t="s">
        <v>40</v>
      </c>
      <c r="E113" s="411">
        <f>N102</f>
        <v>27673.744486859039</v>
      </c>
      <c r="F113" s="412"/>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2" t="s">
        <v>230</v>
      </c>
      <c r="D44" s="402"/>
      <c r="E44" s="402"/>
      <c r="F44" s="402"/>
      <c r="G44" s="403" t="s">
        <v>231</v>
      </c>
      <c r="H44" s="403"/>
      <c r="I44" s="403"/>
      <c r="J44" s="403"/>
      <c r="K44" s="396" t="s">
        <v>232</v>
      </c>
      <c r="L44" s="396"/>
      <c r="M44" s="396"/>
      <c r="N44" s="396"/>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7" t="s">
        <v>3389</v>
      </c>
      <c r="D52" s="397"/>
      <c r="E52" s="397"/>
      <c r="F52" s="397"/>
      <c r="G52" s="397"/>
      <c r="H52" s="397"/>
      <c r="I52" s="397"/>
      <c r="J52" s="397"/>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8" t="s">
        <v>3396</v>
      </c>
      <c r="D61" s="398"/>
      <c r="E61" s="398"/>
      <c r="F61" s="398"/>
      <c r="G61" s="398"/>
      <c r="H61" s="398"/>
      <c r="I61" s="398"/>
      <c r="J61" s="398"/>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3"/>
      <c r="J65" s="413"/>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3"/>
      <c r="J70" s="413"/>
      <c r="K70" s="141">
        <f>E70/E84</f>
        <v>0.15412710508006758</v>
      </c>
      <c r="L70" s="142">
        <f>K70*G84</f>
        <v>0</v>
      </c>
    </row>
    <row r="71" spans="4:14" x14ac:dyDescent="0.3">
      <c r="D71" s="139" t="s">
        <v>50</v>
      </c>
      <c r="E71" s="150">
        <v>6054.41</v>
      </c>
      <c r="F71" s="151">
        <v>57.69</v>
      </c>
      <c r="G71" s="152">
        <v>0</v>
      </c>
      <c r="H71" s="140">
        <f>F71*0.1</f>
        <v>5.7690000000000001</v>
      </c>
      <c r="I71" s="413"/>
      <c r="J71" s="413"/>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3"/>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404" t="s">
        <v>3413</v>
      </c>
      <c r="E86" s="405"/>
      <c r="F86" s="406"/>
    </row>
    <row r="87" spans="4:7" ht="15.6" x14ac:dyDescent="0.3">
      <c r="D87" s="169" t="s">
        <v>2</v>
      </c>
      <c r="E87" s="407" t="s">
        <v>3414</v>
      </c>
      <c r="F87" s="408"/>
    </row>
    <row r="88" spans="4:7" ht="15.6" x14ac:dyDescent="0.3">
      <c r="D88" s="170" t="s">
        <v>3415</v>
      </c>
      <c r="E88" s="414">
        <f>M66</f>
        <v>-1052.5550000000001</v>
      </c>
      <c r="F88" s="415"/>
    </row>
    <row r="89" spans="4:7" ht="15.6" x14ac:dyDescent="0.3">
      <c r="D89" s="170" t="s">
        <v>3416</v>
      </c>
      <c r="E89" s="414">
        <f>M72</f>
        <v>-589.79300000000001</v>
      </c>
      <c r="F89" s="415"/>
    </row>
    <row r="90" spans="4:7" ht="16.2" thickBot="1" x14ac:dyDescent="0.35">
      <c r="D90" s="171" t="s">
        <v>40</v>
      </c>
      <c r="E90" s="411">
        <f>N79</f>
        <v>5417.1939999999995</v>
      </c>
      <c r="F90" s="412"/>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2187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2026-05-22T11:47:37Z</dcterms:modified>
</cp:coreProperties>
</file>